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09.xml" ContentType="application/vnd.openxmlformats-officedocument.spreadsheetml.table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560" yWindow="560" windowWidth="25040" windowHeight="15500" tabRatio="761"/>
  </bookViews>
  <sheets>
    <sheet name="April 2015" sheetId="1" r:id="rId1"/>
    <sheet name="May 2015" sheetId="5" r:id="rId2"/>
    <sheet name="June 2015" sheetId="4" r:id="rId3"/>
    <sheet name="July 2015" sheetId="3" r:id="rId4"/>
    <sheet name="August 2015" sheetId="2" r:id="rId5"/>
    <sheet name="September 2015" sheetId="6" r:id="rId6"/>
    <sheet name="October 2015" sheetId="7" r:id="rId7"/>
    <sheet name="November 2015" sheetId="8" r:id="rId8"/>
    <sheet name="December 2015" sheetId="9" r:id="rId9"/>
    <sheet name="Annual Summary Sheet" sheetId="10" r:id="rId10"/>
  </sheets>
  <calcPr calcId="140001" concurrentCalc="0"/>
  <webPublishing codePage="1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4" i="1" l="1"/>
  <c r="E44" i="1"/>
  <c r="D18" i="8"/>
  <c r="D27" i="8"/>
  <c r="D34" i="8"/>
  <c r="D39" i="8"/>
  <c r="D47" i="8"/>
  <c r="D57" i="8"/>
  <c r="I22" i="8"/>
  <c r="I31" i="8"/>
  <c r="I38" i="8"/>
  <c r="I44" i="8"/>
  <c r="I50" i="8"/>
  <c r="I57" i="8"/>
  <c r="J60" i="8"/>
  <c r="B11" i="10"/>
  <c r="D18" i="7"/>
  <c r="D27" i="7"/>
  <c r="D34" i="7"/>
  <c r="D39" i="7"/>
  <c r="D47" i="7"/>
  <c r="D57" i="7"/>
  <c r="I22" i="7"/>
  <c r="I31" i="7"/>
  <c r="I38" i="7"/>
  <c r="I44" i="7"/>
  <c r="I50" i="7"/>
  <c r="I57" i="7"/>
  <c r="J60" i="7"/>
  <c r="B10" i="10"/>
  <c r="D18" i="6"/>
  <c r="D27" i="6"/>
  <c r="D34" i="6"/>
  <c r="D39" i="6"/>
  <c r="D47" i="6"/>
  <c r="D57" i="6"/>
  <c r="I22" i="6"/>
  <c r="I31" i="6"/>
  <c r="I38" i="6"/>
  <c r="I44" i="6"/>
  <c r="I50" i="6"/>
  <c r="I57" i="6"/>
  <c r="J60" i="6"/>
  <c r="B9" i="10"/>
  <c r="D18" i="3"/>
  <c r="D27" i="3"/>
  <c r="D34" i="3"/>
  <c r="D39" i="3"/>
  <c r="D47" i="3"/>
  <c r="D57" i="3"/>
  <c r="I22" i="3"/>
  <c r="I31" i="3"/>
  <c r="I38" i="3"/>
  <c r="I44" i="3"/>
  <c r="I50" i="3"/>
  <c r="I57" i="3"/>
  <c r="J60" i="3"/>
  <c r="B7" i="10"/>
  <c r="D18" i="5"/>
  <c r="D27" i="5"/>
  <c r="D34" i="5"/>
  <c r="D39" i="5"/>
  <c r="D47" i="5"/>
  <c r="D57" i="5"/>
  <c r="I22" i="5"/>
  <c r="I31" i="5"/>
  <c r="I38" i="5"/>
  <c r="I44" i="5"/>
  <c r="I50" i="5"/>
  <c r="I57" i="5"/>
  <c r="J60" i="5"/>
  <c r="B5" i="10"/>
  <c r="G75" i="9"/>
  <c r="G74" i="9"/>
  <c r="G73" i="9"/>
  <c r="G72" i="9"/>
  <c r="G71" i="9"/>
  <c r="G70" i="9"/>
  <c r="G69" i="9"/>
  <c r="G68" i="9"/>
  <c r="G67" i="9"/>
  <c r="D34" i="9"/>
  <c r="H66" i="9"/>
  <c r="G66" i="9"/>
  <c r="G65" i="9"/>
  <c r="G64" i="9"/>
  <c r="I57" i="9"/>
  <c r="H75" i="9"/>
  <c r="H57" i="9"/>
  <c r="D57" i="9"/>
  <c r="H69" i="9"/>
  <c r="C57" i="9"/>
  <c r="J56" i="9"/>
  <c r="E56" i="9"/>
  <c r="J55" i="9"/>
  <c r="E55" i="9"/>
  <c r="J54" i="9"/>
  <c r="E54" i="9"/>
  <c r="J53" i="9"/>
  <c r="E53" i="9"/>
  <c r="E52" i="9"/>
  <c r="E51" i="9"/>
  <c r="I50" i="9"/>
  <c r="H74" i="9"/>
  <c r="H50" i="9"/>
  <c r="E50" i="9"/>
  <c r="J49" i="9"/>
  <c r="J48" i="9"/>
  <c r="J47" i="9"/>
  <c r="D47" i="9"/>
  <c r="H68" i="9"/>
  <c r="C47" i="9"/>
  <c r="E46" i="9"/>
  <c r="E45" i="9"/>
  <c r="I44" i="9"/>
  <c r="H73" i="9"/>
  <c r="H44" i="9"/>
  <c r="E44" i="9"/>
  <c r="J43" i="9"/>
  <c r="E43" i="9"/>
  <c r="J42" i="9"/>
  <c r="E42" i="9"/>
  <c r="J41" i="9"/>
  <c r="D39" i="9"/>
  <c r="H67" i="9"/>
  <c r="C39" i="9"/>
  <c r="I38" i="9"/>
  <c r="H72" i="9"/>
  <c r="H38" i="9"/>
  <c r="E38" i="9"/>
  <c r="J37" i="9"/>
  <c r="E37" i="9"/>
  <c r="J36" i="9"/>
  <c r="J35" i="9"/>
  <c r="J34" i="9"/>
  <c r="C34" i="9"/>
  <c r="E33" i="9"/>
  <c r="E32" i="9"/>
  <c r="I31" i="9"/>
  <c r="H71" i="9"/>
  <c r="H31" i="9"/>
  <c r="E31" i="9"/>
  <c r="J30" i="9"/>
  <c r="E30" i="9"/>
  <c r="J29" i="9"/>
  <c r="J28" i="9"/>
  <c r="J27" i="9"/>
  <c r="D27" i="9"/>
  <c r="H65" i="9"/>
  <c r="C27" i="9"/>
  <c r="J26" i="9"/>
  <c r="E26" i="9"/>
  <c r="J25" i="9"/>
  <c r="E25" i="9"/>
  <c r="E24" i="9"/>
  <c r="E23" i="9"/>
  <c r="I22" i="9"/>
  <c r="H70" i="9"/>
  <c r="H22" i="9"/>
  <c r="E22" i="9"/>
  <c r="J21" i="9"/>
  <c r="E21" i="9"/>
  <c r="J20" i="9"/>
  <c r="J19" i="9"/>
  <c r="J18" i="9"/>
  <c r="D18" i="9"/>
  <c r="C18" i="9"/>
  <c r="J17" i="9"/>
  <c r="E17" i="9"/>
  <c r="J16" i="9"/>
  <c r="E16" i="9"/>
  <c r="J15" i="9"/>
  <c r="E15" i="9"/>
  <c r="J14" i="9"/>
  <c r="E14" i="9"/>
  <c r="J13" i="9"/>
  <c r="E11" i="9"/>
  <c r="E7" i="9"/>
  <c r="G75" i="8"/>
  <c r="G74" i="8"/>
  <c r="G73" i="8"/>
  <c r="G72" i="8"/>
  <c r="G71" i="8"/>
  <c r="G70" i="8"/>
  <c r="G69" i="8"/>
  <c r="G68" i="8"/>
  <c r="G67" i="8"/>
  <c r="G66" i="8"/>
  <c r="G65" i="8"/>
  <c r="G64" i="8"/>
  <c r="H75" i="8"/>
  <c r="H57" i="8"/>
  <c r="H69" i="8"/>
  <c r="C57" i="8"/>
  <c r="J56" i="8"/>
  <c r="E56" i="8"/>
  <c r="J55" i="8"/>
  <c r="E55" i="8"/>
  <c r="J54" i="8"/>
  <c r="E54" i="8"/>
  <c r="J53" i="8"/>
  <c r="E53" i="8"/>
  <c r="E52" i="8"/>
  <c r="E51" i="8"/>
  <c r="H74" i="8"/>
  <c r="H50" i="8"/>
  <c r="E50" i="8"/>
  <c r="J49" i="8"/>
  <c r="J48" i="8"/>
  <c r="J47" i="8"/>
  <c r="H68" i="8"/>
  <c r="C47" i="8"/>
  <c r="E46" i="8"/>
  <c r="E45" i="8"/>
  <c r="H73" i="8"/>
  <c r="H44" i="8"/>
  <c r="E44" i="8"/>
  <c r="J43" i="8"/>
  <c r="E43" i="8"/>
  <c r="J42" i="8"/>
  <c r="E42" i="8"/>
  <c r="J41" i="8"/>
  <c r="H67" i="8"/>
  <c r="C39" i="8"/>
  <c r="H72" i="8"/>
  <c r="H38" i="8"/>
  <c r="E38" i="8"/>
  <c r="J37" i="8"/>
  <c r="E37" i="8"/>
  <c r="J36" i="8"/>
  <c r="J35" i="8"/>
  <c r="J34" i="8"/>
  <c r="J38" i="8"/>
  <c r="H66" i="8"/>
  <c r="C34" i="8"/>
  <c r="E33" i="8"/>
  <c r="E32" i="8"/>
  <c r="H71" i="8"/>
  <c r="H31" i="8"/>
  <c r="E31" i="8"/>
  <c r="J30" i="8"/>
  <c r="E30" i="8"/>
  <c r="J29" i="8"/>
  <c r="J28" i="8"/>
  <c r="J27" i="8"/>
  <c r="H65" i="8"/>
  <c r="C27" i="8"/>
  <c r="J26" i="8"/>
  <c r="E26" i="8"/>
  <c r="J25" i="8"/>
  <c r="E25" i="8"/>
  <c r="E24" i="8"/>
  <c r="E23" i="8"/>
  <c r="H70" i="8"/>
  <c r="H22" i="8"/>
  <c r="E22" i="8"/>
  <c r="J21" i="8"/>
  <c r="E21" i="8"/>
  <c r="J20" i="8"/>
  <c r="J19" i="8"/>
  <c r="J18" i="8"/>
  <c r="C18" i="8"/>
  <c r="J17" i="8"/>
  <c r="E17" i="8"/>
  <c r="J16" i="8"/>
  <c r="E16" i="8"/>
  <c r="J15" i="8"/>
  <c r="E15" i="8"/>
  <c r="J14" i="8"/>
  <c r="E14" i="8"/>
  <c r="J13" i="8"/>
  <c r="E11" i="8"/>
  <c r="E7" i="8"/>
  <c r="G75" i="7"/>
  <c r="G74" i="7"/>
  <c r="G73" i="7"/>
  <c r="G72" i="7"/>
  <c r="G71" i="7"/>
  <c r="G70" i="7"/>
  <c r="G69" i="7"/>
  <c r="G68" i="7"/>
  <c r="G67" i="7"/>
  <c r="G66" i="7"/>
  <c r="G65" i="7"/>
  <c r="G64" i="7"/>
  <c r="H75" i="7"/>
  <c r="H57" i="7"/>
  <c r="H69" i="7"/>
  <c r="C57" i="7"/>
  <c r="J56" i="7"/>
  <c r="E56" i="7"/>
  <c r="J55" i="7"/>
  <c r="E55" i="7"/>
  <c r="J54" i="7"/>
  <c r="E54" i="7"/>
  <c r="J53" i="7"/>
  <c r="E53" i="7"/>
  <c r="E52" i="7"/>
  <c r="E51" i="7"/>
  <c r="H74" i="7"/>
  <c r="H50" i="7"/>
  <c r="E50" i="7"/>
  <c r="J49" i="7"/>
  <c r="J48" i="7"/>
  <c r="J47" i="7"/>
  <c r="H68" i="7"/>
  <c r="C47" i="7"/>
  <c r="E46" i="7"/>
  <c r="E45" i="7"/>
  <c r="H73" i="7"/>
  <c r="H44" i="7"/>
  <c r="E44" i="7"/>
  <c r="J43" i="7"/>
  <c r="E43" i="7"/>
  <c r="J42" i="7"/>
  <c r="E42" i="7"/>
  <c r="J41" i="7"/>
  <c r="H67" i="7"/>
  <c r="C39" i="7"/>
  <c r="H72" i="7"/>
  <c r="H38" i="7"/>
  <c r="E38" i="7"/>
  <c r="J37" i="7"/>
  <c r="E37" i="7"/>
  <c r="J36" i="7"/>
  <c r="J35" i="7"/>
  <c r="J34" i="7"/>
  <c r="H66" i="7"/>
  <c r="C34" i="7"/>
  <c r="E33" i="7"/>
  <c r="E32" i="7"/>
  <c r="H71" i="7"/>
  <c r="H31" i="7"/>
  <c r="E31" i="7"/>
  <c r="J30" i="7"/>
  <c r="E30" i="7"/>
  <c r="J29" i="7"/>
  <c r="J28" i="7"/>
  <c r="J27" i="7"/>
  <c r="H65" i="7"/>
  <c r="C27" i="7"/>
  <c r="J26" i="7"/>
  <c r="E26" i="7"/>
  <c r="J25" i="7"/>
  <c r="E25" i="7"/>
  <c r="E24" i="7"/>
  <c r="E23" i="7"/>
  <c r="H70" i="7"/>
  <c r="H22" i="7"/>
  <c r="E22" i="7"/>
  <c r="J21" i="7"/>
  <c r="E21" i="7"/>
  <c r="J20" i="7"/>
  <c r="J19" i="7"/>
  <c r="J18" i="7"/>
  <c r="H64" i="7"/>
  <c r="C18" i="7"/>
  <c r="J17" i="7"/>
  <c r="E17" i="7"/>
  <c r="J16" i="7"/>
  <c r="E16" i="7"/>
  <c r="J15" i="7"/>
  <c r="E15" i="7"/>
  <c r="E14" i="7"/>
  <c r="E18" i="7"/>
  <c r="J14" i="7"/>
  <c r="J13" i="7"/>
  <c r="E11" i="7"/>
  <c r="E7" i="7"/>
  <c r="G75" i="6"/>
  <c r="G74" i="6"/>
  <c r="G73" i="6"/>
  <c r="G72" i="6"/>
  <c r="G71" i="6"/>
  <c r="G70" i="6"/>
  <c r="G69" i="6"/>
  <c r="G68" i="6"/>
  <c r="G67" i="6"/>
  <c r="H66" i="6"/>
  <c r="G66" i="6"/>
  <c r="G65" i="6"/>
  <c r="G64" i="6"/>
  <c r="H75" i="6"/>
  <c r="H57" i="6"/>
  <c r="H69" i="6"/>
  <c r="C57" i="6"/>
  <c r="J56" i="6"/>
  <c r="E56" i="6"/>
  <c r="J55" i="6"/>
  <c r="E55" i="6"/>
  <c r="J54" i="6"/>
  <c r="E54" i="6"/>
  <c r="J53" i="6"/>
  <c r="E53" i="6"/>
  <c r="E52" i="6"/>
  <c r="E51" i="6"/>
  <c r="H74" i="6"/>
  <c r="H50" i="6"/>
  <c r="E50" i="6"/>
  <c r="J49" i="6"/>
  <c r="J48" i="6"/>
  <c r="J47" i="6"/>
  <c r="H68" i="6"/>
  <c r="C47" i="6"/>
  <c r="E46" i="6"/>
  <c r="E45" i="6"/>
  <c r="H73" i="6"/>
  <c r="H44" i="6"/>
  <c r="E44" i="6"/>
  <c r="J43" i="6"/>
  <c r="E43" i="6"/>
  <c r="J42" i="6"/>
  <c r="E42" i="6"/>
  <c r="J41" i="6"/>
  <c r="H67" i="6"/>
  <c r="C39" i="6"/>
  <c r="H72" i="6"/>
  <c r="H38" i="6"/>
  <c r="E38" i="6"/>
  <c r="J37" i="6"/>
  <c r="E37" i="6"/>
  <c r="J36" i="6"/>
  <c r="J35" i="6"/>
  <c r="J34" i="6"/>
  <c r="C34" i="6"/>
  <c r="E33" i="6"/>
  <c r="E32" i="6"/>
  <c r="H71" i="6"/>
  <c r="H31" i="6"/>
  <c r="E31" i="6"/>
  <c r="J30" i="6"/>
  <c r="E30" i="6"/>
  <c r="J29" i="6"/>
  <c r="J28" i="6"/>
  <c r="J27" i="6"/>
  <c r="H65" i="6"/>
  <c r="C27" i="6"/>
  <c r="J26" i="6"/>
  <c r="E26" i="6"/>
  <c r="J25" i="6"/>
  <c r="E25" i="6"/>
  <c r="E24" i="6"/>
  <c r="E23" i="6"/>
  <c r="H70" i="6"/>
  <c r="H22" i="6"/>
  <c r="E22" i="6"/>
  <c r="J21" i="6"/>
  <c r="E21" i="6"/>
  <c r="J20" i="6"/>
  <c r="J19" i="6"/>
  <c r="J18" i="6"/>
  <c r="C18" i="6"/>
  <c r="J17" i="6"/>
  <c r="E17" i="6"/>
  <c r="J16" i="6"/>
  <c r="E16" i="6"/>
  <c r="J15" i="6"/>
  <c r="E15" i="6"/>
  <c r="J14" i="6"/>
  <c r="E14" i="6"/>
  <c r="J13" i="6"/>
  <c r="E11" i="6"/>
  <c r="E7" i="6"/>
  <c r="G75" i="5"/>
  <c r="H74" i="5"/>
  <c r="G74" i="5"/>
  <c r="G73" i="5"/>
  <c r="G72" i="5"/>
  <c r="G71" i="5"/>
  <c r="G70" i="5"/>
  <c r="G69" i="5"/>
  <c r="G68" i="5"/>
  <c r="G67" i="5"/>
  <c r="G66" i="5"/>
  <c r="G65" i="5"/>
  <c r="G64" i="5"/>
  <c r="H75" i="5"/>
  <c r="H57" i="5"/>
  <c r="H69" i="5"/>
  <c r="C57" i="5"/>
  <c r="J56" i="5"/>
  <c r="E56" i="5"/>
  <c r="J55" i="5"/>
  <c r="E55" i="5"/>
  <c r="J54" i="5"/>
  <c r="E54" i="5"/>
  <c r="J53" i="5"/>
  <c r="E53" i="5"/>
  <c r="E52" i="5"/>
  <c r="E51" i="5"/>
  <c r="H50" i="5"/>
  <c r="E50" i="5"/>
  <c r="J49" i="5"/>
  <c r="J48" i="5"/>
  <c r="J47" i="5"/>
  <c r="J50" i="5"/>
  <c r="H68" i="5"/>
  <c r="C47" i="5"/>
  <c r="E46" i="5"/>
  <c r="E45" i="5"/>
  <c r="H73" i="5"/>
  <c r="H44" i="5"/>
  <c r="E44" i="5"/>
  <c r="J43" i="5"/>
  <c r="E43" i="5"/>
  <c r="J42" i="5"/>
  <c r="E42" i="5"/>
  <c r="J41" i="5"/>
  <c r="J44" i="5"/>
  <c r="H67" i="5"/>
  <c r="C39" i="5"/>
  <c r="H72" i="5"/>
  <c r="H38" i="5"/>
  <c r="E38" i="5"/>
  <c r="J37" i="5"/>
  <c r="E37" i="5"/>
  <c r="J36" i="5"/>
  <c r="J35" i="5"/>
  <c r="J34" i="5"/>
  <c r="H66" i="5"/>
  <c r="C34" i="5"/>
  <c r="E33" i="5"/>
  <c r="E32" i="5"/>
  <c r="H71" i="5"/>
  <c r="H31" i="5"/>
  <c r="E31" i="5"/>
  <c r="J30" i="5"/>
  <c r="E30" i="5"/>
  <c r="J29" i="5"/>
  <c r="J28" i="5"/>
  <c r="J27" i="5"/>
  <c r="H65" i="5"/>
  <c r="C27" i="5"/>
  <c r="J26" i="5"/>
  <c r="E26" i="5"/>
  <c r="J25" i="5"/>
  <c r="E25" i="5"/>
  <c r="E24" i="5"/>
  <c r="E23" i="5"/>
  <c r="H70" i="5"/>
  <c r="H22" i="5"/>
  <c r="E22" i="5"/>
  <c r="J21" i="5"/>
  <c r="E21" i="5"/>
  <c r="J20" i="5"/>
  <c r="J19" i="5"/>
  <c r="J18" i="5"/>
  <c r="C18" i="5"/>
  <c r="J59" i="5"/>
  <c r="J17" i="5"/>
  <c r="E17" i="5"/>
  <c r="J16" i="5"/>
  <c r="E16" i="5"/>
  <c r="J15" i="5"/>
  <c r="E15" i="5"/>
  <c r="J14" i="5"/>
  <c r="E14" i="5"/>
  <c r="E18" i="5"/>
  <c r="J13" i="5"/>
  <c r="E11" i="5"/>
  <c r="E7" i="5"/>
  <c r="G75" i="4"/>
  <c r="G74" i="4"/>
  <c r="G73" i="4"/>
  <c r="G72" i="4"/>
  <c r="G71" i="4"/>
  <c r="G70" i="4"/>
  <c r="G69" i="4"/>
  <c r="G68" i="4"/>
  <c r="G67" i="4"/>
  <c r="G66" i="4"/>
  <c r="G65" i="4"/>
  <c r="G64" i="4"/>
  <c r="I57" i="4"/>
  <c r="H75" i="4"/>
  <c r="H57" i="4"/>
  <c r="D57" i="4"/>
  <c r="H69" i="4"/>
  <c r="C57" i="4"/>
  <c r="J56" i="4"/>
  <c r="E56" i="4"/>
  <c r="J55" i="4"/>
  <c r="E55" i="4"/>
  <c r="J54" i="4"/>
  <c r="E54" i="4"/>
  <c r="J53" i="4"/>
  <c r="E53" i="4"/>
  <c r="E52" i="4"/>
  <c r="E51" i="4"/>
  <c r="I50" i="4"/>
  <c r="H74" i="4"/>
  <c r="H50" i="4"/>
  <c r="E50" i="4"/>
  <c r="J49" i="4"/>
  <c r="J48" i="4"/>
  <c r="J47" i="4"/>
  <c r="D47" i="4"/>
  <c r="H68" i="4"/>
  <c r="C47" i="4"/>
  <c r="E46" i="4"/>
  <c r="E45" i="4"/>
  <c r="I44" i="4"/>
  <c r="H73" i="4"/>
  <c r="H44" i="4"/>
  <c r="E44" i="4"/>
  <c r="J43" i="4"/>
  <c r="E43" i="4"/>
  <c r="J42" i="4"/>
  <c r="E42" i="4"/>
  <c r="J41" i="4"/>
  <c r="D39" i="4"/>
  <c r="H67" i="4"/>
  <c r="C39" i="4"/>
  <c r="I38" i="4"/>
  <c r="H72" i="4"/>
  <c r="H38" i="4"/>
  <c r="E38" i="4"/>
  <c r="J37" i="4"/>
  <c r="E37" i="4"/>
  <c r="J36" i="4"/>
  <c r="J35" i="4"/>
  <c r="J34" i="4"/>
  <c r="J38" i="4"/>
  <c r="D34" i="4"/>
  <c r="H66" i="4"/>
  <c r="C34" i="4"/>
  <c r="E33" i="4"/>
  <c r="E32" i="4"/>
  <c r="I31" i="4"/>
  <c r="H71" i="4"/>
  <c r="H31" i="4"/>
  <c r="E31" i="4"/>
  <c r="J30" i="4"/>
  <c r="E30" i="4"/>
  <c r="J29" i="4"/>
  <c r="J28" i="4"/>
  <c r="J27" i="4"/>
  <c r="D27" i="4"/>
  <c r="H65" i="4"/>
  <c r="C27" i="4"/>
  <c r="J26" i="4"/>
  <c r="E26" i="4"/>
  <c r="J25" i="4"/>
  <c r="E25" i="4"/>
  <c r="E24" i="4"/>
  <c r="E23" i="4"/>
  <c r="I22" i="4"/>
  <c r="H70" i="4"/>
  <c r="H22" i="4"/>
  <c r="E22" i="4"/>
  <c r="J21" i="4"/>
  <c r="E21" i="4"/>
  <c r="J20" i="4"/>
  <c r="J19" i="4"/>
  <c r="J18" i="4"/>
  <c r="D18" i="4"/>
  <c r="C18" i="4"/>
  <c r="J17" i="4"/>
  <c r="E17" i="4"/>
  <c r="J16" i="4"/>
  <c r="E16" i="4"/>
  <c r="J15" i="4"/>
  <c r="E15" i="4"/>
  <c r="J14" i="4"/>
  <c r="E14" i="4"/>
  <c r="J13" i="4"/>
  <c r="E11" i="4"/>
  <c r="E7" i="4"/>
  <c r="G75" i="3"/>
  <c r="H74" i="3"/>
  <c r="G74" i="3"/>
  <c r="G73" i="3"/>
  <c r="G72" i="3"/>
  <c r="G71" i="3"/>
  <c r="G70" i="3"/>
  <c r="G69" i="3"/>
  <c r="G68" i="3"/>
  <c r="G67" i="3"/>
  <c r="G66" i="3"/>
  <c r="G65" i="3"/>
  <c r="G64" i="3"/>
  <c r="H75" i="3"/>
  <c r="H57" i="3"/>
  <c r="H69" i="3"/>
  <c r="C57" i="3"/>
  <c r="J56" i="3"/>
  <c r="E56" i="3"/>
  <c r="J55" i="3"/>
  <c r="E55" i="3"/>
  <c r="J54" i="3"/>
  <c r="E54" i="3"/>
  <c r="J53" i="3"/>
  <c r="E53" i="3"/>
  <c r="E52" i="3"/>
  <c r="E51" i="3"/>
  <c r="H50" i="3"/>
  <c r="E50" i="3"/>
  <c r="J49" i="3"/>
  <c r="J47" i="3"/>
  <c r="J48" i="3"/>
  <c r="J50" i="3"/>
  <c r="H68" i="3"/>
  <c r="C47" i="3"/>
  <c r="E46" i="3"/>
  <c r="E45" i="3"/>
  <c r="H73" i="3"/>
  <c r="H44" i="3"/>
  <c r="E44" i="3"/>
  <c r="J43" i="3"/>
  <c r="E43" i="3"/>
  <c r="J42" i="3"/>
  <c r="E42" i="3"/>
  <c r="J41" i="3"/>
  <c r="H67" i="3"/>
  <c r="C39" i="3"/>
  <c r="H72" i="3"/>
  <c r="H38" i="3"/>
  <c r="E38" i="3"/>
  <c r="J37" i="3"/>
  <c r="E37" i="3"/>
  <c r="J36" i="3"/>
  <c r="J35" i="3"/>
  <c r="J34" i="3"/>
  <c r="J38" i="3"/>
  <c r="H66" i="3"/>
  <c r="C34" i="3"/>
  <c r="E33" i="3"/>
  <c r="E32" i="3"/>
  <c r="H71" i="3"/>
  <c r="H31" i="3"/>
  <c r="E31" i="3"/>
  <c r="J30" i="3"/>
  <c r="E30" i="3"/>
  <c r="J29" i="3"/>
  <c r="J28" i="3"/>
  <c r="J27" i="3"/>
  <c r="H65" i="3"/>
  <c r="C27" i="3"/>
  <c r="J26" i="3"/>
  <c r="E26" i="3"/>
  <c r="J25" i="3"/>
  <c r="E25" i="3"/>
  <c r="E24" i="3"/>
  <c r="E23" i="3"/>
  <c r="H70" i="3"/>
  <c r="H22" i="3"/>
  <c r="E22" i="3"/>
  <c r="J21" i="3"/>
  <c r="E21" i="3"/>
  <c r="J20" i="3"/>
  <c r="J19" i="3"/>
  <c r="J18" i="3"/>
  <c r="C18" i="3"/>
  <c r="J17" i="3"/>
  <c r="E17" i="3"/>
  <c r="J16" i="3"/>
  <c r="E16" i="3"/>
  <c r="J15" i="3"/>
  <c r="E15" i="3"/>
  <c r="J14" i="3"/>
  <c r="E14" i="3"/>
  <c r="J13" i="3"/>
  <c r="E11" i="3"/>
  <c r="E7" i="3"/>
  <c r="G75" i="2"/>
  <c r="G74" i="2"/>
  <c r="G73" i="2"/>
  <c r="G72" i="2"/>
  <c r="G71" i="2"/>
  <c r="G70" i="2"/>
  <c r="G69" i="2"/>
  <c r="G68" i="2"/>
  <c r="G67" i="2"/>
  <c r="G66" i="2"/>
  <c r="G65" i="2"/>
  <c r="G64" i="2"/>
  <c r="I57" i="2"/>
  <c r="H75" i="2"/>
  <c r="H57" i="2"/>
  <c r="D57" i="2"/>
  <c r="H69" i="2"/>
  <c r="C57" i="2"/>
  <c r="J56" i="2"/>
  <c r="E56" i="2"/>
  <c r="J55" i="2"/>
  <c r="E55" i="2"/>
  <c r="J54" i="2"/>
  <c r="E54" i="2"/>
  <c r="J53" i="2"/>
  <c r="E53" i="2"/>
  <c r="E52" i="2"/>
  <c r="E51" i="2"/>
  <c r="I50" i="2"/>
  <c r="H74" i="2"/>
  <c r="H50" i="2"/>
  <c r="E50" i="2"/>
  <c r="J49" i="2"/>
  <c r="J48" i="2"/>
  <c r="J47" i="2"/>
  <c r="D47" i="2"/>
  <c r="H68" i="2"/>
  <c r="C47" i="2"/>
  <c r="E46" i="2"/>
  <c r="E45" i="2"/>
  <c r="I44" i="2"/>
  <c r="H73" i="2"/>
  <c r="H44" i="2"/>
  <c r="E44" i="2"/>
  <c r="J43" i="2"/>
  <c r="E43" i="2"/>
  <c r="J42" i="2"/>
  <c r="E42" i="2"/>
  <c r="J41" i="2"/>
  <c r="D39" i="2"/>
  <c r="H67" i="2"/>
  <c r="C39" i="2"/>
  <c r="I38" i="2"/>
  <c r="H72" i="2"/>
  <c r="H38" i="2"/>
  <c r="E38" i="2"/>
  <c r="J37" i="2"/>
  <c r="E37" i="2"/>
  <c r="E39" i="2"/>
  <c r="J36" i="2"/>
  <c r="J35" i="2"/>
  <c r="J34" i="2"/>
  <c r="D34" i="2"/>
  <c r="H66" i="2"/>
  <c r="C34" i="2"/>
  <c r="E33" i="2"/>
  <c r="E32" i="2"/>
  <c r="I31" i="2"/>
  <c r="H71" i="2"/>
  <c r="H31" i="2"/>
  <c r="E31" i="2"/>
  <c r="J30" i="2"/>
  <c r="E30" i="2"/>
  <c r="E34" i="2"/>
  <c r="J29" i="2"/>
  <c r="J28" i="2"/>
  <c r="J27" i="2"/>
  <c r="D27" i="2"/>
  <c r="H65" i="2"/>
  <c r="C27" i="2"/>
  <c r="J26" i="2"/>
  <c r="E26" i="2"/>
  <c r="J25" i="2"/>
  <c r="E25" i="2"/>
  <c r="E24" i="2"/>
  <c r="E23" i="2"/>
  <c r="I22" i="2"/>
  <c r="H70" i="2"/>
  <c r="H22" i="2"/>
  <c r="E22" i="2"/>
  <c r="J21" i="2"/>
  <c r="E21" i="2"/>
  <c r="J20" i="2"/>
  <c r="J19" i="2"/>
  <c r="J18" i="2"/>
  <c r="D18" i="2"/>
  <c r="J60" i="2"/>
  <c r="E11" i="2"/>
  <c r="J7" i="2"/>
  <c r="C18" i="2"/>
  <c r="J17" i="2"/>
  <c r="E17" i="2"/>
  <c r="J16" i="2"/>
  <c r="E16" i="2"/>
  <c r="J15" i="2"/>
  <c r="E15" i="2"/>
  <c r="J14" i="2"/>
  <c r="E14" i="2"/>
  <c r="J13" i="2"/>
  <c r="E7" i="2"/>
  <c r="I44" i="1"/>
  <c r="H73" i="1"/>
  <c r="G75" i="1"/>
  <c r="G74" i="1"/>
  <c r="G73" i="1"/>
  <c r="G72" i="1"/>
  <c r="G71" i="1"/>
  <c r="G70" i="1"/>
  <c r="G69" i="1"/>
  <c r="G68" i="1"/>
  <c r="G67" i="1"/>
  <c r="G66" i="1"/>
  <c r="G65" i="1"/>
  <c r="G64" i="1"/>
  <c r="E26" i="1"/>
  <c r="J30" i="1"/>
  <c r="J37" i="1"/>
  <c r="E33" i="1"/>
  <c r="J53" i="1"/>
  <c r="J54" i="1"/>
  <c r="J55" i="1"/>
  <c r="J56" i="1"/>
  <c r="J47" i="1"/>
  <c r="J48" i="1"/>
  <c r="J49" i="1"/>
  <c r="J41" i="1"/>
  <c r="J42" i="1"/>
  <c r="J43" i="1"/>
  <c r="J34" i="1"/>
  <c r="J35" i="1"/>
  <c r="J36" i="1"/>
  <c r="J25" i="1"/>
  <c r="J26" i="1"/>
  <c r="J27" i="1"/>
  <c r="J28" i="1"/>
  <c r="J29" i="1"/>
  <c r="J13" i="1"/>
  <c r="J14" i="1"/>
  <c r="J15" i="1"/>
  <c r="J16" i="1"/>
  <c r="J17" i="1"/>
  <c r="J18" i="1"/>
  <c r="J19" i="1"/>
  <c r="J20" i="1"/>
  <c r="J21" i="1"/>
  <c r="E50" i="1"/>
  <c r="E51" i="1"/>
  <c r="E52" i="1"/>
  <c r="E53" i="1"/>
  <c r="E54" i="1"/>
  <c r="E55" i="1"/>
  <c r="E56" i="1"/>
  <c r="E42" i="1"/>
  <c r="E43" i="1"/>
  <c r="E45" i="1"/>
  <c r="E46" i="1"/>
  <c r="E37" i="1"/>
  <c r="E38" i="1"/>
  <c r="E30" i="1"/>
  <c r="E31" i="1"/>
  <c r="E32" i="1"/>
  <c r="E21" i="1"/>
  <c r="E22" i="1"/>
  <c r="E23" i="1"/>
  <c r="E24" i="1"/>
  <c r="E25" i="1"/>
  <c r="E14" i="1"/>
  <c r="E15" i="1"/>
  <c r="E16" i="1"/>
  <c r="E17" i="1"/>
  <c r="I57" i="1"/>
  <c r="H75" i="1"/>
  <c r="H57" i="1"/>
  <c r="I50" i="1"/>
  <c r="H74" i="1"/>
  <c r="H50" i="1"/>
  <c r="H44" i="1"/>
  <c r="I38" i="1"/>
  <c r="H72" i="1"/>
  <c r="H38" i="1"/>
  <c r="I31" i="1"/>
  <c r="H71" i="1"/>
  <c r="H31" i="1"/>
  <c r="D57" i="1"/>
  <c r="H69" i="1"/>
  <c r="C57" i="1"/>
  <c r="D47" i="1"/>
  <c r="H68" i="1"/>
  <c r="C47" i="1"/>
  <c r="D39" i="1"/>
  <c r="H67" i="1"/>
  <c r="C39" i="1"/>
  <c r="D34" i="1"/>
  <c r="H66" i="1"/>
  <c r="C34" i="1"/>
  <c r="D27" i="1"/>
  <c r="H65" i="1"/>
  <c r="C27" i="1"/>
  <c r="I22" i="1"/>
  <c r="H70" i="1"/>
  <c r="H22" i="1"/>
  <c r="D18" i="1"/>
  <c r="H64" i="1"/>
  <c r="C18" i="1"/>
  <c r="E7" i="1"/>
  <c r="E11" i="1"/>
  <c r="B8" i="10"/>
  <c r="E57" i="9"/>
  <c r="E18" i="9"/>
  <c r="J59" i="9"/>
  <c r="J4" i="9"/>
  <c r="J44" i="9"/>
  <c r="J50" i="9"/>
  <c r="J31" i="9"/>
  <c r="J60" i="9"/>
  <c r="J22" i="9"/>
  <c r="E27" i="9"/>
  <c r="J38" i="9"/>
  <c r="E34" i="9"/>
  <c r="E39" i="9"/>
  <c r="E47" i="9"/>
  <c r="J57" i="9"/>
  <c r="H64" i="9"/>
  <c r="H76" i="9"/>
  <c r="J22" i="8"/>
  <c r="J31" i="8"/>
  <c r="E34" i="8"/>
  <c r="J59" i="8"/>
  <c r="J4" i="8"/>
  <c r="E57" i="8"/>
  <c r="E27" i="8"/>
  <c r="E18" i="8"/>
  <c r="E39" i="8"/>
  <c r="E47" i="8"/>
  <c r="J44" i="8"/>
  <c r="J50" i="8"/>
  <c r="J57" i="8"/>
  <c r="J61" i="8"/>
  <c r="J7" i="8"/>
  <c r="J9" i="8"/>
  <c r="E39" i="7"/>
  <c r="J57" i="7"/>
  <c r="J38" i="7"/>
  <c r="J44" i="7"/>
  <c r="J50" i="7"/>
  <c r="H76" i="7"/>
  <c r="E27" i="7"/>
  <c r="E47" i="7"/>
  <c r="J22" i="7"/>
  <c r="J59" i="7"/>
  <c r="J4" i="7"/>
  <c r="J31" i="7"/>
  <c r="E34" i="7"/>
  <c r="E57" i="7"/>
  <c r="J22" i="6"/>
  <c r="E27" i="6"/>
  <c r="E18" i="6"/>
  <c r="J59" i="6"/>
  <c r="J4" i="6"/>
  <c r="J44" i="6"/>
  <c r="J50" i="6"/>
  <c r="J31" i="6"/>
  <c r="E57" i="6"/>
  <c r="J38" i="6"/>
  <c r="J7" i="6"/>
  <c r="E34" i="6"/>
  <c r="E39" i="6"/>
  <c r="E47" i="6"/>
  <c r="J57" i="6"/>
  <c r="H64" i="6"/>
  <c r="H76" i="6"/>
  <c r="E47" i="2"/>
  <c r="J38" i="2"/>
  <c r="J57" i="2"/>
  <c r="H64" i="2"/>
  <c r="H76" i="2"/>
  <c r="J22" i="2"/>
  <c r="E27" i="2"/>
  <c r="J31" i="2"/>
  <c r="E57" i="2"/>
  <c r="E18" i="2"/>
  <c r="J59" i="2"/>
  <c r="J4" i="2"/>
  <c r="J9" i="2"/>
  <c r="J44" i="2"/>
  <c r="J50" i="2"/>
  <c r="J22" i="3"/>
  <c r="E27" i="3"/>
  <c r="J7" i="3"/>
  <c r="J59" i="3"/>
  <c r="J4" i="3"/>
  <c r="J9" i="3"/>
  <c r="J31" i="3"/>
  <c r="E34" i="3"/>
  <c r="E39" i="3"/>
  <c r="E47" i="3"/>
  <c r="J57" i="3"/>
  <c r="H64" i="3"/>
  <c r="E57" i="3"/>
  <c r="E18" i="3"/>
  <c r="J44" i="3"/>
  <c r="J61" i="3"/>
  <c r="J50" i="4"/>
  <c r="J22" i="4"/>
  <c r="E27" i="4"/>
  <c r="E57" i="4"/>
  <c r="E18" i="4"/>
  <c r="J59" i="4"/>
  <c r="J4" i="4"/>
  <c r="J44" i="4"/>
  <c r="J60" i="4"/>
  <c r="J31" i="4"/>
  <c r="E34" i="4"/>
  <c r="E39" i="4"/>
  <c r="E47" i="4"/>
  <c r="J57" i="4"/>
  <c r="H64" i="4"/>
  <c r="H76" i="4"/>
  <c r="J22" i="5"/>
  <c r="E27" i="5"/>
  <c r="J31" i="5"/>
  <c r="E57" i="5"/>
  <c r="J4" i="5"/>
  <c r="J7" i="5"/>
  <c r="J9" i="5"/>
  <c r="E34" i="5"/>
  <c r="E39" i="5"/>
  <c r="E47" i="5"/>
  <c r="J57" i="5"/>
  <c r="H64" i="5"/>
  <c r="H76" i="5"/>
  <c r="J38" i="5"/>
  <c r="H64" i="8"/>
  <c r="H76" i="8"/>
  <c r="J7" i="7"/>
  <c r="H76" i="3"/>
  <c r="H76" i="1"/>
  <c r="E57" i="1"/>
  <c r="J60" i="1"/>
  <c r="E18" i="1"/>
  <c r="J59" i="1"/>
  <c r="J57" i="1"/>
  <c r="J50" i="1"/>
  <c r="J44" i="1"/>
  <c r="J38" i="1"/>
  <c r="J31" i="1"/>
  <c r="E47" i="1"/>
  <c r="E39" i="1"/>
  <c r="E34" i="1"/>
  <c r="E27" i="1"/>
  <c r="J22" i="1"/>
  <c r="J7" i="1"/>
  <c r="B4" i="10"/>
  <c r="B6" i="10"/>
  <c r="B12" i="10"/>
  <c r="B13" i="10"/>
  <c r="J7" i="4"/>
  <c r="J9" i="4"/>
  <c r="J7" i="9"/>
  <c r="J9" i="9"/>
  <c r="J61" i="9"/>
  <c r="J61" i="7"/>
  <c r="J9" i="7"/>
  <c r="J61" i="6"/>
  <c r="J9" i="6"/>
  <c r="J61" i="2"/>
  <c r="J61" i="4"/>
  <c r="J61" i="5"/>
  <c r="J61" i="1"/>
  <c r="J4" i="1"/>
  <c r="J9" i="1"/>
</calcChain>
</file>

<file path=xl/sharedStrings.xml><?xml version="1.0" encoding="utf-8"?>
<sst xmlns="http://schemas.openxmlformats.org/spreadsheetml/2006/main" count="1237" uniqueCount="102">
  <si>
    <t>Projected Cost</t>
  </si>
  <si>
    <t>Actual Cost</t>
  </si>
  <si>
    <t>Difference</t>
  </si>
  <si>
    <t>Income 1</t>
  </si>
  <si>
    <t>Mortgage or rent</t>
  </si>
  <si>
    <t>Gas</t>
  </si>
  <si>
    <t>Maintenance or repairs</t>
  </si>
  <si>
    <t>Supplies</t>
  </si>
  <si>
    <t>Other</t>
  </si>
  <si>
    <t>Insurance</t>
  </si>
  <si>
    <t>Maintenance</t>
  </si>
  <si>
    <t>Groceries</t>
  </si>
  <si>
    <t>Clothing</t>
  </si>
  <si>
    <t>Movies</t>
  </si>
  <si>
    <t>Concerts</t>
  </si>
  <si>
    <t>Federal</t>
  </si>
  <si>
    <t>State</t>
  </si>
  <si>
    <t>Local</t>
  </si>
  <si>
    <t>Total monthly income</t>
  </si>
  <si>
    <t>Electricity</t>
  </si>
  <si>
    <t>Vehicle payment</t>
  </si>
  <si>
    <t>Sporting events</t>
  </si>
  <si>
    <t>Credit card</t>
  </si>
  <si>
    <t>Retirement account</t>
  </si>
  <si>
    <t>Investment account</t>
  </si>
  <si>
    <t>ENTERTAINMENT</t>
  </si>
  <si>
    <t>LOANS</t>
  </si>
  <si>
    <t>TRANSPORTATION</t>
  </si>
  <si>
    <t>TAXES</t>
  </si>
  <si>
    <t>FOOD</t>
  </si>
  <si>
    <t>SAVINGS OR INVESTMENTS</t>
  </si>
  <si>
    <t>PERSONAL CARE</t>
  </si>
  <si>
    <t>ACTUAL MONTHLY INCOME</t>
  </si>
  <si>
    <t>TOTAL PROJECTED COST</t>
  </si>
  <si>
    <t>TOTAL DIFFERENCE</t>
  </si>
  <si>
    <t>Total</t>
  </si>
  <si>
    <t>UTILITIES</t>
  </si>
  <si>
    <t>HOME</t>
  </si>
  <si>
    <t>Water/Sewer</t>
  </si>
  <si>
    <t>Trash Pick Up</t>
  </si>
  <si>
    <t>DVDs/DVD Rentals</t>
  </si>
  <si>
    <t>CDs/Spotify/Etc</t>
  </si>
  <si>
    <t>Babysitter Costs</t>
  </si>
  <si>
    <t>Student Loan #1</t>
  </si>
  <si>
    <t>Student Loan #2</t>
  </si>
  <si>
    <t>Internet</t>
  </si>
  <si>
    <t>Cellphone</t>
  </si>
  <si>
    <t>Cable TV</t>
  </si>
  <si>
    <t>CONNECTIONS</t>
  </si>
  <si>
    <t>Gifts</t>
  </si>
  <si>
    <t>Charity</t>
  </si>
  <si>
    <t>Bus/taxi/Uber fare</t>
  </si>
  <si>
    <t>Fitness costs</t>
  </si>
  <si>
    <t>MEDICAL</t>
  </si>
  <si>
    <t>Toiletries</t>
  </si>
  <si>
    <t>Hair</t>
  </si>
  <si>
    <t>Make Up/Perfume/Cologne</t>
  </si>
  <si>
    <t>Co Pays</t>
  </si>
  <si>
    <t>Prescriptions</t>
  </si>
  <si>
    <t>MISC</t>
  </si>
  <si>
    <t>Pet costs (food, grooming)</t>
  </si>
  <si>
    <t>Personal Hobbies</t>
  </si>
  <si>
    <t>School expenses</t>
  </si>
  <si>
    <t>Emergency Fund</t>
  </si>
  <si>
    <t>Side Hustle Income</t>
  </si>
  <si>
    <t>Expenses By Category</t>
  </si>
  <si>
    <t>ESTIMATED MONTHLY INCOME</t>
  </si>
  <si>
    <t>Income 2</t>
  </si>
  <si>
    <t>April 2015 Monthly Household Budget</t>
  </si>
  <si>
    <t>APRIL TOTAL ACTUAL COST</t>
  </si>
  <si>
    <t>MAY TOTAL ACTUAL COST</t>
  </si>
  <si>
    <t>JUNE TOTAL ACTUAL COST</t>
  </si>
  <si>
    <t>JULY TOTAL ACTUAL COST</t>
  </si>
  <si>
    <t>AUGUST TOTAL ACTUAL COST</t>
  </si>
  <si>
    <t>SEPTEMBER TOTAL ACTUAL COST</t>
  </si>
  <si>
    <t>OCTOBER TOTAL ACTUAL COST</t>
  </si>
  <si>
    <t>NOVEMBER TOTAL ACTUAL COST</t>
  </si>
  <si>
    <t>DECEMBER TOTAL ACTUAL COST</t>
  </si>
  <si>
    <t>May 2015 Monthly Household Budget</t>
  </si>
  <si>
    <t>June 2015 Monthly Household Budget</t>
  </si>
  <si>
    <t>July 2015 Monthly Household Budget</t>
  </si>
  <si>
    <t>August 2015 Monthly Household Budget</t>
  </si>
  <si>
    <t>September 2015 Monthly Household Budget</t>
  </si>
  <si>
    <t>October 2015 Monthly Household Budget</t>
  </si>
  <si>
    <t>November 2015 Monthly Household Budget</t>
  </si>
  <si>
    <t>December 2015 Monthly Household Budget</t>
  </si>
  <si>
    <t>Yearly Review</t>
  </si>
  <si>
    <t>Vacation</t>
  </si>
  <si>
    <t>Annual Expenses By Month</t>
  </si>
  <si>
    <t>Total Annual Expenses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</si>
  <si>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</si>
  <si>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</si>
  <si>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</si>
  <si>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</si>
  <si>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</si>
  <si>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</si>
  <si>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</si>
  <si>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</si>
  <si>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</si>
  <si>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ESTIMATED BALANCE (</t>
    </r>
    <r>
      <rPr>
        <b/>
        <u/>
        <sz val="10"/>
        <color indexed="63"/>
        <rFont val="Tahoma"/>
        <family val="2"/>
      </rPr>
      <t>Estimated income</t>
    </r>
    <r>
      <rPr>
        <b/>
        <sz val="10"/>
        <color indexed="63"/>
        <rFont val="Tahoma"/>
        <family val="2"/>
      </rPr>
      <t xml:space="preserve"> minus expenses)</t>
    </r>
  </si>
  <si>
    <r>
      <t>ACTUAL BALANCE (</t>
    </r>
    <r>
      <rPr>
        <b/>
        <u/>
        <sz val="10"/>
        <color indexed="63"/>
        <rFont val="Tahoma"/>
        <family val="2"/>
      </rPr>
      <t>Actual income</t>
    </r>
    <r>
      <rPr>
        <b/>
        <sz val="10"/>
        <color indexed="63"/>
        <rFont val="Tahoma"/>
        <family val="2"/>
      </rPr>
      <t xml:space="preserve"> minus expenses)</t>
    </r>
  </si>
  <si>
    <r>
      <t xml:space="preserve">DIFFERENCE (How much </t>
    </r>
    <r>
      <rPr>
        <b/>
        <u/>
        <sz val="10"/>
        <color indexed="63"/>
        <rFont val="Tahoma"/>
        <family val="2"/>
      </rPr>
      <t>savings</t>
    </r>
    <r>
      <rPr>
        <b/>
        <sz val="10"/>
        <color indexed="63"/>
        <rFont val="Tahoma"/>
        <family val="2"/>
      </rPr>
      <t xml:space="preserve"> you have, or how much you </t>
    </r>
    <r>
      <rPr>
        <b/>
        <u/>
        <sz val="10"/>
        <color indexed="63"/>
        <rFont val="Tahoma"/>
        <family val="2"/>
      </rPr>
      <t>overspent</t>
    </r>
    <r>
      <rPr>
        <b/>
        <sz val="10"/>
        <color indexed="63"/>
        <rFont val="Tahom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</si>
</sst>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16" x14ac:knownFonts="1"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3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26"/>
      <color indexed="63"/>
      <name val="Cambria"/>
      <family val="1"/>
      <scheme val="major"/>
    </font>
    <font>
      <sz val="22"/>
      <color theme="1"/>
      <name val="Britannic Bold"/>
      <family val="2"/>
    </font>
    <font>
      <sz val="10"/>
      <color theme="1"/>
      <name val="Tahoma"/>
      <family val="2"/>
    </font>
    <font>
      <sz val="12"/>
      <color theme="1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b/>
      <u/>
      <sz val="10"/>
      <color indexed="63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30"/>
      <color indexed="63"/>
      <name val="Tahoma"/>
      <family val="2"/>
    </font>
    <font>
      <sz val="26"/>
      <color indexed="6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7558519241921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6" fontId="0" fillId="0" borderId="0" xfId="0" applyNumberFormat="1"/>
    <xf numFmtId="0" fontId="6" fillId="0" borderId="0" xfId="0" applyFont="1"/>
    <xf numFmtId="6" fontId="8" fillId="0" borderId="0" xfId="0" applyNumberFormat="1" applyFont="1"/>
    <xf numFmtId="6" fontId="10" fillId="4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6" fontId="9" fillId="5" borderId="1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 wrapText="1"/>
    </xf>
    <xf numFmtId="6" fontId="9" fillId="2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6" fontId="9" fillId="2" borderId="0" xfId="0" applyNumberFormat="1" applyFont="1" applyFill="1" applyBorder="1" applyAlignment="1">
      <alignment horizontal="left" vertical="center"/>
    </xf>
    <xf numFmtId="0" fontId="12" fillId="4" borderId="7" xfId="0" applyFont="1" applyFill="1" applyBorder="1"/>
    <xf numFmtId="0" fontId="12" fillId="4" borderId="8" xfId="0" applyFont="1" applyFill="1" applyBorder="1"/>
    <xf numFmtId="0" fontId="12" fillId="4" borderId="9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shrinkToFit="1"/>
    </xf>
    <xf numFmtId="164" fontId="12" fillId="0" borderId="8" xfId="0" applyNumberFormat="1" applyFont="1" applyFill="1" applyBorder="1"/>
    <xf numFmtId="164" fontId="12" fillId="0" borderId="9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4" borderId="7" xfId="0" applyFont="1" applyFill="1" applyBorder="1" applyAlignment="1">
      <alignment shrinkToFit="1"/>
    </xf>
    <xf numFmtId="164" fontId="12" fillId="4" borderId="8" xfId="0" applyNumberFormat="1" applyFont="1" applyFill="1" applyBorder="1"/>
    <xf numFmtId="164" fontId="12" fillId="4" borderId="9" xfId="0" applyNumberFormat="1" applyFont="1" applyFill="1" applyBorder="1" applyAlignment="1">
      <alignment horizontal="right" vertical="center"/>
    </xf>
    <xf numFmtId="164" fontId="12" fillId="4" borderId="9" xfId="0" applyNumberFormat="1" applyFont="1" applyFill="1" applyBorder="1"/>
    <xf numFmtId="164" fontId="13" fillId="4" borderId="8" xfId="0" applyNumberFormat="1" applyFont="1" applyFill="1" applyBorder="1"/>
    <xf numFmtId="0" fontId="7" fillId="0" borderId="0" xfId="0" applyFont="1"/>
    <xf numFmtId="0" fontId="10" fillId="0" borderId="0" xfId="0" applyFont="1" applyFill="1" applyAlignment="1">
      <alignment horizontal="left" vertical="center"/>
    </xf>
    <xf numFmtId="0" fontId="9" fillId="4" borderId="15" xfId="0" applyFont="1" applyFill="1" applyBorder="1" applyAlignment="1">
      <alignment vertical="center" shrinkToFit="1"/>
    </xf>
    <xf numFmtId="0" fontId="9" fillId="4" borderId="16" xfId="0" applyFont="1" applyFill="1" applyBorder="1" applyAlignment="1">
      <alignment vertical="center" shrinkToFit="1"/>
    </xf>
    <xf numFmtId="0" fontId="9" fillId="4" borderId="17" xfId="0" applyFont="1" applyFill="1" applyBorder="1" applyAlignment="1">
      <alignment vertical="center" shrinkToFit="1"/>
    </xf>
    <xf numFmtId="6" fontId="9" fillId="5" borderId="2" xfId="0" applyNumberFormat="1" applyFont="1" applyFill="1" applyBorder="1" applyAlignment="1">
      <alignment vertical="center"/>
    </xf>
    <xf numFmtId="0" fontId="13" fillId="4" borderId="11" xfId="0" applyFont="1" applyFill="1" applyBorder="1"/>
    <xf numFmtId="0" fontId="13" fillId="4" borderId="13" xfId="0" applyFont="1" applyFill="1" applyBorder="1"/>
    <xf numFmtId="0" fontId="12" fillId="3" borderId="12" xfId="0" applyFont="1" applyFill="1" applyBorder="1" applyAlignment="1">
      <alignment shrinkToFit="1"/>
    </xf>
    <xf numFmtId="164" fontId="12" fillId="3" borderId="14" xfId="0" applyNumberFormat="1" applyFont="1" applyFill="1" applyBorder="1"/>
    <xf numFmtId="0" fontId="12" fillId="4" borderId="12" xfId="0" applyFont="1" applyFill="1" applyBorder="1" applyAlignment="1">
      <alignment shrinkToFit="1"/>
    </xf>
    <xf numFmtId="164" fontId="12" fillId="4" borderId="14" xfId="0" applyNumberFormat="1" applyFont="1" applyFill="1" applyBorder="1"/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4" borderId="1" xfId="0" applyFont="1" applyFill="1" applyBorder="1" applyAlignment="1">
      <alignment horizontal="left" vertical="center" shrinkToFit="1"/>
    </xf>
    <xf numFmtId="6" fontId="9" fillId="5" borderId="1" xfId="0" applyNumberFormat="1" applyFont="1" applyFill="1" applyBorder="1" applyAlignment="1">
      <alignment horizontal="right" vertical="center"/>
    </xf>
    <xf numFmtId="0" fontId="9" fillId="5" borderId="5" xfId="0" applyFont="1" applyFill="1" applyBorder="1" applyAlignment="1">
      <alignment horizontal="left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shrinkToFit="1"/>
    </xf>
    <xf numFmtId="0" fontId="9" fillId="4" borderId="3" xfId="0" applyFont="1" applyFill="1" applyBorder="1" applyAlignment="1">
      <alignment horizontal="left" vertical="center" shrinkToFit="1"/>
    </xf>
    <xf numFmtId="0" fontId="9" fillId="4" borderId="4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 customBuiltin="1"/>
  </cellStyles>
  <dxfs count="1300"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numFmt numFmtId="167" formatCode="\$#,##0_);[Red]\(\$#,##0\)"/>
    </dxf>
    <dxf>
      <font>
        <strike val="0"/>
        <outline val="0"/>
        <shadow val="0"/>
        <u val="none"/>
        <vertAlign val="baseline"/>
        <sz val="12"/>
        <color theme="1"/>
        <name val="Tahoma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63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63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63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63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63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63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63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63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rgb="FF000000"/>
          <bgColor rgb="FFDAEEF3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  <border diagonalUp="0" diagonalDown="0" outline="0">
        <left style="thin">
          <color rgb="FF95B3D7"/>
        </left>
        <right style="thin">
          <color rgb="FF95B3D7"/>
        </right>
        <top/>
        <bottom/>
      </border>
    </dxf>
    <dxf>
      <border diagonalUp="0" diagonalDown="0">
        <left/>
        <right/>
        <top style="thin">
          <color rgb="FF95B3D7"/>
        </top>
        <bottom style="thin">
          <color rgb="FF95B3D7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rgb="FF000000"/>
          <bgColor rgb="FFFFFFFF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color indexed="63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6" formatCode="\$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theme="4" tint="0.3999450666829432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64" formatCode="&quot;$&quot;#,##0"/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numFmt numFmtId="165" formatCode="\$#,##0"/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Tahoma"/>
        <scheme val="none"/>
      </font>
      <fill>
        <patternFill patternType="solid">
          <fgColor indexed="64"/>
          <bgColor theme="8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  <a:r>
              <a:rPr lang="en-US" baseline="0"/>
              <a:t> by Category</a:t>
            </a:r>
            <a:endParaRPr lang="en-US"/>
          </a:p>
        </c:rich>
      </c:tx>
      <c:layout>
        <c:manualLayout>
          <c:xMode val="edge"/>
          <c:yMode val="edge"/>
          <c:x val="0.540577636958727"/>
          <c:y val="0.03663003663003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0875134632"/>
          <c:y val="0.216489284993222"/>
          <c:w val="0.504042203887861"/>
          <c:h val="0.695135127339852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09053758718407"/>
                  <c:y val="-0.060933921721323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341521054888059"/>
                  <c:y val="-0.068961091402036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ENTERTAINMENT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'April 2015'!$G$64:$G$75</c:f>
              <c:strCache>
                <c:ptCount val="12"/>
                <c:pt idx="0">
                  <c:v>HOME</c:v>
                </c:pt>
                <c:pt idx="1">
                  <c:v>TRANSPORTATION</c:v>
                </c:pt>
                <c:pt idx="2">
                  <c:v>UTILITIES</c:v>
                </c:pt>
                <c:pt idx="3">
                  <c:v>FOOD</c:v>
                </c:pt>
                <c:pt idx="4">
                  <c:v>CONNECTIONS</c:v>
                </c:pt>
                <c:pt idx="5">
                  <c:v>PERSONAL CARE</c:v>
                </c:pt>
                <c:pt idx="6">
                  <c:v>ENTERTAINMENT</c:v>
                </c:pt>
                <c:pt idx="7">
                  <c:v>LOANS</c:v>
                </c:pt>
                <c:pt idx="8">
                  <c:v>TAXES</c:v>
                </c:pt>
                <c:pt idx="9">
                  <c:v>SAVINGS OR INVESTMENTS</c:v>
                </c:pt>
                <c:pt idx="10">
                  <c:v>MEDICAL</c:v>
                </c:pt>
                <c:pt idx="11">
                  <c:v>MISC</c:v>
                </c:pt>
              </c:strCache>
            </c:strRef>
          </c:cat>
          <c:val>
            <c:numRef>
              <c:f>'April 2015'!$H$64:$H$75</c:f>
              <c:numCache>
                <c:formatCode>"$"#,##0</c:formatCode>
                <c:ptCount val="12"/>
                <c:pt idx="0">
                  <c:v>1210.0</c:v>
                </c:pt>
                <c:pt idx="1">
                  <c:v>310.0</c:v>
                </c:pt>
                <c:pt idx="2" formatCode="General">
                  <c:v>160.0</c:v>
                </c:pt>
                <c:pt idx="3">
                  <c:v>400.0</c:v>
                </c:pt>
                <c:pt idx="4">
                  <c:v>205.0</c:v>
                </c:pt>
                <c:pt idx="5" formatCode="General">
                  <c:v>89.0</c:v>
                </c:pt>
                <c:pt idx="6">
                  <c:v>170.0</c:v>
                </c:pt>
                <c:pt idx="7">
                  <c:v>500.0</c:v>
                </c:pt>
                <c:pt idx="8" formatCode="General">
                  <c:v>25.0</c:v>
                </c:pt>
                <c:pt idx="9">
                  <c:v>250.0</c:v>
                </c:pt>
                <c:pt idx="10">
                  <c:v>50.0</c:v>
                </c:pt>
                <c:pt idx="11" formatCode="General">
                  <c:v>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Annual Expenses by 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'Annual Summary Sheet'!$B$3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'Annual Summary Sheet'!$A$4:$A$12</c:f>
              <c:strCache>
                <c:ptCount val="9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</c:strCache>
            </c:strRef>
          </c:cat>
          <c:val>
            <c:numRef>
              <c:f>'Annual Summary Sheet'!$B$4:$B$12</c:f>
              <c:numCache>
                <c:formatCode>"$"#,##0_);[Red]\("$"#,##0\)</c:formatCode>
                <c:ptCount val="9"/>
                <c:pt idx="0">
                  <c:v>3419.0</c:v>
                </c:pt>
                <c:pt idx="1">
                  <c:v>3364.0</c:v>
                </c:pt>
                <c:pt idx="2">
                  <c:v>4564.0</c:v>
                </c:pt>
                <c:pt idx="3">
                  <c:v>3364.0</c:v>
                </c:pt>
                <c:pt idx="4">
                  <c:v>3664.0</c:v>
                </c:pt>
                <c:pt idx="5">
                  <c:v>3364.0</c:v>
                </c:pt>
                <c:pt idx="6">
                  <c:v>3364.0</c:v>
                </c:pt>
                <c:pt idx="7">
                  <c:v>3364.0</c:v>
                </c:pt>
                <c:pt idx="8">
                  <c:v>3764.0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966248"/>
        <c:axId val="574963240"/>
      </c:barChart>
      <c:catAx>
        <c:axId val="574966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574963240"/>
        <c:crosses val="autoZero"/>
        <c:auto val="1"/>
        <c:lblAlgn val="ctr"/>
        <c:lblOffset val="100"/>
        <c:noMultiLvlLbl val="0"/>
      </c:catAx>
      <c:valAx>
        <c:axId val="574963240"/>
        <c:scaling>
          <c:orientation val="minMax"/>
        </c:scaling>
        <c:delete val="0"/>
        <c:axPos val="l"/>
        <c:majorGridlines/>
        <c:numFmt formatCode="&quot;$&quot;#,##0_);[Red]\(&quot;$&quot;#,##0\)" sourceLinked="1"/>
        <c:majorTickMark val="none"/>
        <c:minorTickMark val="none"/>
        <c:tickLblPos val="nextTo"/>
        <c:crossAx val="574966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  <a:r>
              <a:rPr lang="en-US" baseline="0"/>
              <a:t> by Category</a:t>
            </a:r>
            <a:endParaRPr lang="en-US"/>
          </a:p>
        </c:rich>
      </c:tx>
      <c:layout>
        <c:manualLayout>
          <c:xMode val="edge"/>
          <c:yMode val="edge"/>
          <c:x val="0.540577636958727"/>
          <c:y val="0.03663003663003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0875134632"/>
          <c:y val="0.216489284993222"/>
          <c:w val="0.504042203887861"/>
          <c:h val="0.695135127339852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09053758718407"/>
                  <c:y val="-0.060933921721323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341521054888059"/>
                  <c:y val="-0.068961091402036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ENTERTAINMENT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'May 2015'!$G$64:$G$75</c:f>
              <c:strCache>
                <c:ptCount val="12"/>
                <c:pt idx="0">
                  <c:v>HOME</c:v>
                </c:pt>
                <c:pt idx="1">
                  <c:v>TRANSPORTATION</c:v>
                </c:pt>
                <c:pt idx="2">
                  <c:v>UTILITIES</c:v>
                </c:pt>
                <c:pt idx="3">
                  <c:v>FOOD</c:v>
                </c:pt>
                <c:pt idx="4">
                  <c:v>CONNECTIONS</c:v>
                </c:pt>
                <c:pt idx="5">
                  <c:v>PERSONAL CARE</c:v>
                </c:pt>
                <c:pt idx="6">
                  <c:v>ENTERTAINMENT</c:v>
                </c:pt>
                <c:pt idx="7">
                  <c:v>LOANS</c:v>
                </c:pt>
                <c:pt idx="8">
                  <c:v>TAXES</c:v>
                </c:pt>
                <c:pt idx="9">
                  <c:v>SAVINGS OR INVESTMENTS</c:v>
                </c:pt>
                <c:pt idx="10">
                  <c:v>MEDICAL</c:v>
                </c:pt>
                <c:pt idx="11">
                  <c:v>MISC</c:v>
                </c:pt>
              </c:strCache>
            </c:strRef>
          </c:cat>
          <c:val>
            <c:numRef>
              <c:f>'May 2015'!$H$64:$H$75</c:f>
              <c:numCache>
                <c:formatCode>"$"#,##0</c:formatCode>
                <c:ptCount val="12"/>
                <c:pt idx="0">
                  <c:v>1210.0</c:v>
                </c:pt>
                <c:pt idx="1">
                  <c:v>310.0</c:v>
                </c:pt>
                <c:pt idx="2" formatCode="General">
                  <c:v>160.0</c:v>
                </c:pt>
                <c:pt idx="3">
                  <c:v>400.0</c:v>
                </c:pt>
                <c:pt idx="4">
                  <c:v>150.0</c:v>
                </c:pt>
                <c:pt idx="5" formatCode="General">
                  <c:v>89.0</c:v>
                </c:pt>
                <c:pt idx="6">
                  <c:v>170.0</c:v>
                </c:pt>
                <c:pt idx="7">
                  <c:v>500.0</c:v>
                </c:pt>
                <c:pt idx="8" formatCode="General">
                  <c:v>25.0</c:v>
                </c:pt>
                <c:pt idx="9">
                  <c:v>250.0</c:v>
                </c:pt>
                <c:pt idx="10">
                  <c:v>50.0</c:v>
                </c:pt>
                <c:pt idx="11" formatCode="General">
                  <c:v>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  <a:r>
              <a:rPr lang="en-US" baseline="0"/>
              <a:t> by Category</a:t>
            </a:r>
            <a:endParaRPr lang="en-US"/>
          </a:p>
        </c:rich>
      </c:tx>
      <c:layout>
        <c:manualLayout>
          <c:xMode val="edge"/>
          <c:yMode val="edge"/>
          <c:x val="0.540577636958727"/>
          <c:y val="0.03663003663003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0875134632"/>
          <c:y val="0.216489284993222"/>
          <c:w val="0.504042203887861"/>
          <c:h val="0.695135127339852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09053758718407"/>
                  <c:y val="-0.060933921721323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341521054888059"/>
                  <c:y val="-0.068961091402036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ENTERTAINMENT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'June 2015'!$G$64:$G$75</c:f>
              <c:strCache>
                <c:ptCount val="12"/>
                <c:pt idx="0">
                  <c:v>HOME</c:v>
                </c:pt>
                <c:pt idx="1">
                  <c:v>TRANSPORTATION</c:v>
                </c:pt>
                <c:pt idx="2">
                  <c:v>UTILITIES</c:v>
                </c:pt>
                <c:pt idx="3">
                  <c:v>FOOD</c:v>
                </c:pt>
                <c:pt idx="4">
                  <c:v>CONNECTIONS</c:v>
                </c:pt>
                <c:pt idx="5">
                  <c:v>PERSONAL CARE</c:v>
                </c:pt>
                <c:pt idx="6">
                  <c:v>ENTERTAINMENT</c:v>
                </c:pt>
                <c:pt idx="7">
                  <c:v>LOANS</c:v>
                </c:pt>
                <c:pt idx="8">
                  <c:v>TAXES</c:v>
                </c:pt>
                <c:pt idx="9">
                  <c:v>SAVINGS OR INVESTMENTS</c:v>
                </c:pt>
                <c:pt idx="10">
                  <c:v>MEDICAL</c:v>
                </c:pt>
                <c:pt idx="11">
                  <c:v>MISC</c:v>
                </c:pt>
              </c:strCache>
            </c:strRef>
          </c:cat>
          <c:val>
            <c:numRef>
              <c:f>'June 2015'!$H$64:$H$75</c:f>
              <c:numCache>
                <c:formatCode>"$"#,##0</c:formatCode>
                <c:ptCount val="12"/>
                <c:pt idx="0">
                  <c:v>1210.0</c:v>
                </c:pt>
                <c:pt idx="1">
                  <c:v>310.0</c:v>
                </c:pt>
                <c:pt idx="2" formatCode="General">
                  <c:v>160.0</c:v>
                </c:pt>
                <c:pt idx="3">
                  <c:v>400.0</c:v>
                </c:pt>
                <c:pt idx="4">
                  <c:v>150.0</c:v>
                </c:pt>
                <c:pt idx="5" formatCode="General">
                  <c:v>89.0</c:v>
                </c:pt>
                <c:pt idx="6">
                  <c:v>1370.0</c:v>
                </c:pt>
                <c:pt idx="7">
                  <c:v>500.0</c:v>
                </c:pt>
                <c:pt idx="8" formatCode="General">
                  <c:v>25.0</c:v>
                </c:pt>
                <c:pt idx="9">
                  <c:v>250.0</c:v>
                </c:pt>
                <c:pt idx="10">
                  <c:v>50.0</c:v>
                </c:pt>
                <c:pt idx="11" formatCode="General">
                  <c:v>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  <a:r>
              <a:rPr lang="en-US" baseline="0"/>
              <a:t> by Category</a:t>
            </a:r>
            <a:endParaRPr lang="en-US"/>
          </a:p>
        </c:rich>
      </c:tx>
      <c:layout>
        <c:manualLayout>
          <c:xMode val="edge"/>
          <c:yMode val="edge"/>
          <c:x val="0.540577636958727"/>
          <c:y val="0.03663003663003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0875134632"/>
          <c:y val="0.216489284993222"/>
          <c:w val="0.504042203887861"/>
          <c:h val="0.695135127339852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09053758718407"/>
                  <c:y val="-0.060933921721323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341521054888059"/>
                  <c:y val="-0.068961091402036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ENTERTAINMENT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'July 2015'!$G$64:$G$75</c:f>
              <c:strCache>
                <c:ptCount val="12"/>
                <c:pt idx="0">
                  <c:v>HOME</c:v>
                </c:pt>
                <c:pt idx="1">
                  <c:v>TRANSPORTATION</c:v>
                </c:pt>
                <c:pt idx="2">
                  <c:v>UTILITIES</c:v>
                </c:pt>
                <c:pt idx="3">
                  <c:v>FOOD</c:v>
                </c:pt>
                <c:pt idx="4">
                  <c:v>CONNECTIONS</c:v>
                </c:pt>
                <c:pt idx="5">
                  <c:v>PERSONAL CARE</c:v>
                </c:pt>
                <c:pt idx="6">
                  <c:v>ENTERTAINMENT</c:v>
                </c:pt>
                <c:pt idx="7">
                  <c:v>LOANS</c:v>
                </c:pt>
                <c:pt idx="8">
                  <c:v>TAXES</c:v>
                </c:pt>
                <c:pt idx="9">
                  <c:v>SAVINGS OR INVESTMENTS</c:v>
                </c:pt>
                <c:pt idx="10">
                  <c:v>MEDICAL</c:v>
                </c:pt>
                <c:pt idx="11">
                  <c:v>MISC</c:v>
                </c:pt>
              </c:strCache>
            </c:strRef>
          </c:cat>
          <c:val>
            <c:numRef>
              <c:f>'July 2015'!$H$64:$H$75</c:f>
              <c:numCache>
                <c:formatCode>"$"#,##0</c:formatCode>
                <c:ptCount val="12"/>
                <c:pt idx="0">
                  <c:v>1210.0</c:v>
                </c:pt>
                <c:pt idx="1">
                  <c:v>310.0</c:v>
                </c:pt>
                <c:pt idx="2" formatCode="General">
                  <c:v>160.0</c:v>
                </c:pt>
                <c:pt idx="3">
                  <c:v>400.0</c:v>
                </c:pt>
                <c:pt idx="4">
                  <c:v>150.0</c:v>
                </c:pt>
                <c:pt idx="5" formatCode="General">
                  <c:v>89.0</c:v>
                </c:pt>
                <c:pt idx="6">
                  <c:v>170.0</c:v>
                </c:pt>
                <c:pt idx="7">
                  <c:v>500.0</c:v>
                </c:pt>
                <c:pt idx="8" formatCode="General">
                  <c:v>25.0</c:v>
                </c:pt>
                <c:pt idx="9">
                  <c:v>250.0</c:v>
                </c:pt>
                <c:pt idx="10">
                  <c:v>50.0</c:v>
                </c:pt>
                <c:pt idx="11" formatCode="General">
                  <c:v>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  <a:r>
              <a:rPr lang="en-US" baseline="0"/>
              <a:t> by Category</a:t>
            </a:r>
            <a:endParaRPr lang="en-US"/>
          </a:p>
        </c:rich>
      </c:tx>
      <c:layout>
        <c:manualLayout>
          <c:xMode val="edge"/>
          <c:yMode val="edge"/>
          <c:x val="0.540577636958727"/>
          <c:y val="0.03663003663003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0875134632"/>
          <c:y val="0.216489284993222"/>
          <c:w val="0.504042203887861"/>
          <c:h val="0.695135127339852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09053758718407"/>
                  <c:y val="-0.060933921721323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341521054888059"/>
                  <c:y val="-0.068961091402036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ENTERTAINMENT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'August 2015'!$G$64:$G$75</c:f>
              <c:strCache>
                <c:ptCount val="12"/>
                <c:pt idx="0">
                  <c:v>HOME</c:v>
                </c:pt>
                <c:pt idx="1">
                  <c:v>TRANSPORTATION</c:v>
                </c:pt>
                <c:pt idx="2">
                  <c:v>UTILITIES</c:v>
                </c:pt>
                <c:pt idx="3">
                  <c:v>FOOD</c:v>
                </c:pt>
                <c:pt idx="4">
                  <c:v>CONNECTIONS</c:v>
                </c:pt>
                <c:pt idx="5">
                  <c:v>PERSONAL CARE</c:v>
                </c:pt>
                <c:pt idx="6">
                  <c:v>ENTERTAINMENT</c:v>
                </c:pt>
                <c:pt idx="7">
                  <c:v>LOANS</c:v>
                </c:pt>
                <c:pt idx="8">
                  <c:v>TAXES</c:v>
                </c:pt>
                <c:pt idx="9">
                  <c:v>SAVINGS OR INVESTMENTS</c:v>
                </c:pt>
                <c:pt idx="10">
                  <c:v>MEDICAL</c:v>
                </c:pt>
                <c:pt idx="11">
                  <c:v>MISC</c:v>
                </c:pt>
              </c:strCache>
            </c:strRef>
          </c:cat>
          <c:val>
            <c:numRef>
              <c:f>'August 2015'!$H$64:$H$75</c:f>
              <c:numCache>
                <c:formatCode>"$"#,##0</c:formatCode>
                <c:ptCount val="12"/>
                <c:pt idx="0">
                  <c:v>1210.0</c:v>
                </c:pt>
                <c:pt idx="1">
                  <c:v>310.0</c:v>
                </c:pt>
                <c:pt idx="2" formatCode="General">
                  <c:v>160.0</c:v>
                </c:pt>
                <c:pt idx="3">
                  <c:v>400.0</c:v>
                </c:pt>
                <c:pt idx="4">
                  <c:v>150.0</c:v>
                </c:pt>
                <c:pt idx="5" formatCode="General">
                  <c:v>89.0</c:v>
                </c:pt>
                <c:pt idx="6">
                  <c:v>170.0</c:v>
                </c:pt>
                <c:pt idx="7">
                  <c:v>500.0</c:v>
                </c:pt>
                <c:pt idx="8" formatCode="General">
                  <c:v>25.0</c:v>
                </c:pt>
                <c:pt idx="9">
                  <c:v>250.0</c:v>
                </c:pt>
                <c:pt idx="10">
                  <c:v>350.0</c:v>
                </c:pt>
                <c:pt idx="11" formatCode="General">
                  <c:v>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  <a:r>
              <a:rPr lang="en-US" baseline="0"/>
              <a:t> by Category</a:t>
            </a:r>
            <a:endParaRPr lang="en-US"/>
          </a:p>
        </c:rich>
      </c:tx>
      <c:layout>
        <c:manualLayout>
          <c:xMode val="edge"/>
          <c:yMode val="edge"/>
          <c:x val="0.540577636958727"/>
          <c:y val="0.03663003663003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0875134632"/>
          <c:y val="0.216489284993222"/>
          <c:w val="0.504042203887861"/>
          <c:h val="0.695135127339852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09053758718407"/>
                  <c:y val="-0.060933921721323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341521054888059"/>
                  <c:y val="-0.068961091402036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ENTERTAINMENT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'September 2015'!$G$64:$G$75</c:f>
              <c:strCache>
                <c:ptCount val="12"/>
                <c:pt idx="0">
                  <c:v>HOME</c:v>
                </c:pt>
                <c:pt idx="1">
                  <c:v>TRANSPORTATION</c:v>
                </c:pt>
                <c:pt idx="2">
                  <c:v>UTILITIES</c:v>
                </c:pt>
                <c:pt idx="3">
                  <c:v>FOOD</c:v>
                </c:pt>
                <c:pt idx="4">
                  <c:v>CONNECTIONS</c:v>
                </c:pt>
                <c:pt idx="5">
                  <c:v>PERSONAL CARE</c:v>
                </c:pt>
                <c:pt idx="6">
                  <c:v>ENTERTAINMENT</c:v>
                </c:pt>
                <c:pt idx="7">
                  <c:v>LOANS</c:v>
                </c:pt>
                <c:pt idx="8">
                  <c:v>TAXES</c:v>
                </c:pt>
                <c:pt idx="9">
                  <c:v>SAVINGS OR INVESTMENTS</c:v>
                </c:pt>
                <c:pt idx="10">
                  <c:v>MEDICAL</c:v>
                </c:pt>
                <c:pt idx="11">
                  <c:v>MISC</c:v>
                </c:pt>
              </c:strCache>
            </c:strRef>
          </c:cat>
          <c:val>
            <c:numRef>
              <c:f>'September 2015'!$H$64:$H$75</c:f>
              <c:numCache>
                <c:formatCode>"$"#,##0</c:formatCode>
                <c:ptCount val="12"/>
                <c:pt idx="0">
                  <c:v>1210.0</c:v>
                </c:pt>
                <c:pt idx="1">
                  <c:v>310.0</c:v>
                </c:pt>
                <c:pt idx="2" formatCode="General">
                  <c:v>160.0</c:v>
                </c:pt>
                <c:pt idx="3">
                  <c:v>400.0</c:v>
                </c:pt>
                <c:pt idx="4">
                  <c:v>150.0</c:v>
                </c:pt>
                <c:pt idx="5" formatCode="General">
                  <c:v>89.0</c:v>
                </c:pt>
                <c:pt idx="6">
                  <c:v>170.0</c:v>
                </c:pt>
                <c:pt idx="7">
                  <c:v>500.0</c:v>
                </c:pt>
                <c:pt idx="8" formatCode="General">
                  <c:v>25.0</c:v>
                </c:pt>
                <c:pt idx="9">
                  <c:v>250.0</c:v>
                </c:pt>
                <c:pt idx="10">
                  <c:v>50.0</c:v>
                </c:pt>
                <c:pt idx="11" formatCode="General">
                  <c:v>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  <a:r>
              <a:rPr lang="en-US" baseline="0"/>
              <a:t> by Category</a:t>
            </a:r>
            <a:endParaRPr lang="en-US"/>
          </a:p>
        </c:rich>
      </c:tx>
      <c:layout>
        <c:manualLayout>
          <c:xMode val="edge"/>
          <c:yMode val="edge"/>
          <c:x val="0.540577636958727"/>
          <c:y val="0.03663003663003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0875134632"/>
          <c:y val="0.216489284993222"/>
          <c:w val="0.504042203887861"/>
          <c:h val="0.695135127339852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09053758718407"/>
                  <c:y val="-0.060933921721323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341521054888059"/>
                  <c:y val="-0.068961091402036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ENTERTAINMENT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'October 2015'!$G$64:$G$75</c:f>
              <c:strCache>
                <c:ptCount val="12"/>
                <c:pt idx="0">
                  <c:v>HOME</c:v>
                </c:pt>
                <c:pt idx="1">
                  <c:v>TRANSPORTATION</c:v>
                </c:pt>
                <c:pt idx="2">
                  <c:v>UTILITIES</c:v>
                </c:pt>
                <c:pt idx="3">
                  <c:v>FOOD</c:v>
                </c:pt>
                <c:pt idx="4">
                  <c:v>CONNECTIONS</c:v>
                </c:pt>
                <c:pt idx="5">
                  <c:v>PERSONAL CARE</c:v>
                </c:pt>
                <c:pt idx="6">
                  <c:v>ENTERTAINMENT</c:v>
                </c:pt>
                <c:pt idx="7">
                  <c:v>LOANS</c:v>
                </c:pt>
                <c:pt idx="8">
                  <c:v>TAXES</c:v>
                </c:pt>
                <c:pt idx="9">
                  <c:v>SAVINGS OR INVESTMENTS</c:v>
                </c:pt>
                <c:pt idx="10">
                  <c:v>MEDICAL</c:v>
                </c:pt>
                <c:pt idx="11">
                  <c:v>MISC</c:v>
                </c:pt>
              </c:strCache>
            </c:strRef>
          </c:cat>
          <c:val>
            <c:numRef>
              <c:f>'October 2015'!$H$64:$H$75</c:f>
              <c:numCache>
                <c:formatCode>"$"#,##0</c:formatCode>
                <c:ptCount val="12"/>
                <c:pt idx="0">
                  <c:v>1210.0</c:v>
                </c:pt>
                <c:pt idx="1">
                  <c:v>310.0</c:v>
                </c:pt>
                <c:pt idx="2" formatCode="General">
                  <c:v>160.0</c:v>
                </c:pt>
                <c:pt idx="3">
                  <c:v>400.0</c:v>
                </c:pt>
                <c:pt idx="4">
                  <c:v>150.0</c:v>
                </c:pt>
                <c:pt idx="5" formatCode="General">
                  <c:v>89.0</c:v>
                </c:pt>
                <c:pt idx="6">
                  <c:v>170.0</c:v>
                </c:pt>
                <c:pt idx="7">
                  <c:v>500.0</c:v>
                </c:pt>
                <c:pt idx="8" formatCode="General">
                  <c:v>25.0</c:v>
                </c:pt>
                <c:pt idx="9">
                  <c:v>250.0</c:v>
                </c:pt>
                <c:pt idx="10">
                  <c:v>50.0</c:v>
                </c:pt>
                <c:pt idx="11" formatCode="General">
                  <c:v>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  <a:r>
              <a:rPr lang="en-US" baseline="0"/>
              <a:t> by Category</a:t>
            </a:r>
            <a:endParaRPr lang="en-US"/>
          </a:p>
        </c:rich>
      </c:tx>
      <c:layout>
        <c:manualLayout>
          <c:xMode val="edge"/>
          <c:yMode val="edge"/>
          <c:x val="0.540577636958727"/>
          <c:y val="0.03663003663003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0875134632"/>
          <c:y val="0.216489284993222"/>
          <c:w val="0.504042203887861"/>
          <c:h val="0.695135127339852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09053758718407"/>
                  <c:y val="-0.060933921721323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341521054888059"/>
                  <c:y val="-0.068961091402036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ENTERTAINMENT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'November 2015'!$G$64:$G$75</c:f>
              <c:strCache>
                <c:ptCount val="12"/>
                <c:pt idx="0">
                  <c:v>HOME</c:v>
                </c:pt>
                <c:pt idx="1">
                  <c:v>TRANSPORTATION</c:v>
                </c:pt>
                <c:pt idx="2">
                  <c:v>UTILITIES</c:v>
                </c:pt>
                <c:pt idx="3">
                  <c:v>FOOD</c:v>
                </c:pt>
                <c:pt idx="4">
                  <c:v>CONNECTIONS</c:v>
                </c:pt>
                <c:pt idx="5">
                  <c:v>PERSONAL CARE</c:v>
                </c:pt>
                <c:pt idx="6">
                  <c:v>ENTERTAINMENT</c:v>
                </c:pt>
                <c:pt idx="7">
                  <c:v>LOANS</c:v>
                </c:pt>
                <c:pt idx="8">
                  <c:v>TAXES</c:v>
                </c:pt>
                <c:pt idx="9">
                  <c:v>SAVINGS OR INVESTMENTS</c:v>
                </c:pt>
                <c:pt idx="10">
                  <c:v>MEDICAL</c:v>
                </c:pt>
                <c:pt idx="11">
                  <c:v>MISC</c:v>
                </c:pt>
              </c:strCache>
            </c:strRef>
          </c:cat>
          <c:val>
            <c:numRef>
              <c:f>'November 2015'!$H$64:$H$75</c:f>
              <c:numCache>
                <c:formatCode>"$"#,##0</c:formatCode>
                <c:ptCount val="12"/>
                <c:pt idx="0">
                  <c:v>1210.0</c:v>
                </c:pt>
                <c:pt idx="1">
                  <c:v>310.0</c:v>
                </c:pt>
                <c:pt idx="2" formatCode="General">
                  <c:v>160.0</c:v>
                </c:pt>
                <c:pt idx="3">
                  <c:v>400.0</c:v>
                </c:pt>
                <c:pt idx="4">
                  <c:v>150.0</c:v>
                </c:pt>
                <c:pt idx="5" formatCode="General">
                  <c:v>89.0</c:v>
                </c:pt>
                <c:pt idx="6">
                  <c:v>170.0</c:v>
                </c:pt>
                <c:pt idx="7">
                  <c:v>500.0</c:v>
                </c:pt>
                <c:pt idx="8" formatCode="General">
                  <c:v>25.0</c:v>
                </c:pt>
                <c:pt idx="9">
                  <c:v>250.0</c:v>
                </c:pt>
                <c:pt idx="10">
                  <c:v>50.0</c:v>
                </c:pt>
                <c:pt idx="11" formatCode="General">
                  <c:v>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Expenses</a:t>
            </a:r>
            <a:r>
              <a:rPr lang="en-US" baseline="0"/>
              <a:t> by Category</a:t>
            </a:r>
            <a:endParaRPr lang="en-US"/>
          </a:p>
        </c:rich>
      </c:tx>
      <c:layout>
        <c:manualLayout>
          <c:xMode val="edge"/>
          <c:yMode val="edge"/>
          <c:x val="0.540577636958727"/>
          <c:y val="0.036630036630036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10875134632"/>
          <c:y val="0.216489284993222"/>
          <c:w val="0.504042203887861"/>
          <c:h val="0.695135127339852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0.109053758718407"/>
                  <c:y val="-0.0609339217213233"/>
                </c:manualLayout>
              </c:layout>
              <c:spPr/>
              <c:txPr>
                <a:bodyPr/>
                <a:lstStyle/>
                <a:p>
                  <a:pPr>
                    <a:defRPr sz="900"/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0.0341521054888059"/>
                  <c:y val="-0.0689610914020363"/>
                </c:manualLayout>
              </c:layout>
              <c:tx>
                <c:rich>
                  <a:bodyPr/>
                  <a:lstStyle/>
                  <a:p>
                    <a:r>
                      <a:rPr lang="en-US" sz="900"/>
                      <a:t>ENTERTAINMENT</a:t>
                    </a:r>
                    <a:r>
                      <a:rPr lang="en-US"/>
                      <a:t>
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'December 2015'!$G$64:$G$75</c:f>
              <c:strCache>
                <c:ptCount val="12"/>
                <c:pt idx="0">
                  <c:v>HOME</c:v>
                </c:pt>
                <c:pt idx="1">
                  <c:v>TRANSPORTATION</c:v>
                </c:pt>
                <c:pt idx="2">
                  <c:v>UTILITIES</c:v>
                </c:pt>
                <c:pt idx="3">
                  <c:v>FOOD</c:v>
                </c:pt>
                <c:pt idx="4">
                  <c:v>CONNECTIONS</c:v>
                </c:pt>
                <c:pt idx="5">
                  <c:v>PERSONAL CARE</c:v>
                </c:pt>
                <c:pt idx="6">
                  <c:v>ENTERTAINMENT</c:v>
                </c:pt>
                <c:pt idx="7">
                  <c:v>LOANS</c:v>
                </c:pt>
                <c:pt idx="8">
                  <c:v>TAXES</c:v>
                </c:pt>
                <c:pt idx="9">
                  <c:v>SAVINGS OR INVESTMENTS</c:v>
                </c:pt>
                <c:pt idx="10">
                  <c:v>MEDICAL</c:v>
                </c:pt>
                <c:pt idx="11">
                  <c:v>MISC</c:v>
                </c:pt>
              </c:strCache>
            </c:strRef>
          </c:cat>
          <c:val>
            <c:numRef>
              <c:f>'December 2015'!$H$64:$H$75</c:f>
              <c:numCache>
                <c:formatCode>"$"#,##0</c:formatCode>
                <c:ptCount val="12"/>
                <c:pt idx="0">
                  <c:v>1210.0</c:v>
                </c:pt>
                <c:pt idx="1">
                  <c:v>310.0</c:v>
                </c:pt>
                <c:pt idx="2" formatCode="General">
                  <c:v>160.0</c:v>
                </c:pt>
                <c:pt idx="3">
                  <c:v>400.0</c:v>
                </c:pt>
                <c:pt idx="4">
                  <c:v>550.0</c:v>
                </c:pt>
                <c:pt idx="5" formatCode="General">
                  <c:v>89.0</c:v>
                </c:pt>
                <c:pt idx="6">
                  <c:v>170.0</c:v>
                </c:pt>
                <c:pt idx="7">
                  <c:v>500.0</c:v>
                </c:pt>
                <c:pt idx="8" formatCode="General">
                  <c:v>25.0</c:v>
                </c:pt>
                <c:pt idx="9">
                  <c:v>250.0</c:v>
                </c:pt>
                <c:pt idx="10">
                  <c:v>50.0</c:v>
                </c:pt>
                <c:pt idx="11" formatCode="General">
                  <c:v>50.0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57</xdr:row>
      <xdr:rowOff>133350</xdr:rowOff>
    </xdr:from>
    <xdr:to>
      <xdr:col>5</xdr:col>
      <xdr:colOff>57150</xdr:colOff>
      <xdr:row>76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0</xdr:row>
      <xdr:rowOff>180975</xdr:rowOff>
    </xdr:from>
    <xdr:to>
      <xdr:col>11</xdr:col>
      <xdr:colOff>371475</xdr:colOff>
      <xdr:row>15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57</xdr:row>
      <xdr:rowOff>190500</xdr:rowOff>
    </xdr:from>
    <xdr:to>
      <xdr:col>4</xdr:col>
      <xdr:colOff>809625</xdr:colOff>
      <xdr:row>74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57</xdr:row>
      <xdr:rowOff>190500</xdr:rowOff>
    </xdr:from>
    <xdr:to>
      <xdr:col>4</xdr:col>
      <xdr:colOff>809625</xdr:colOff>
      <xdr:row>74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57</xdr:row>
      <xdr:rowOff>190500</xdr:rowOff>
    </xdr:from>
    <xdr:to>
      <xdr:col>4</xdr:col>
      <xdr:colOff>809625</xdr:colOff>
      <xdr:row>74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57</xdr:row>
      <xdr:rowOff>190500</xdr:rowOff>
    </xdr:from>
    <xdr:to>
      <xdr:col>4</xdr:col>
      <xdr:colOff>809625</xdr:colOff>
      <xdr:row>74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57</xdr:row>
      <xdr:rowOff>190500</xdr:rowOff>
    </xdr:from>
    <xdr:to>
      <xdr:col>4</xdr:col>
      <xdr:colOff>809625</xdr:colOff>
      <xdr:row>74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57</xdr:row>
      <xdr:rowOff>190500</xdr:rowOff>
    </xdr:from>
    <xdr:to>
      <xdr:col>4</xdr:col>
      <xdr:colOff>809625</xdr:colOff>
      <xdr:row>74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57</xdr:row>
      <xdr:rowOff>190500</xdr:rowOff>
    </xdr:from>
    <xdr:to>
      <xdr:col>4</xdr:col>
      <xdr:colOff>809625</xdr:colOff>
      <xdr:row>74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57</xdr:row>
      <xdr:rowOff>190500</xdr:rowOff>
    </xdr:from>
    <xdr:to>
      <xdr:col>4</xdr:col>
      <xdr:colOff>809625</xdr:colOff>
      <xdr:row>74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13:E18" totalsRowCount="1" headerRowDxfId="1299" dataDxfId="1298" totalsRowDxfId="1296" tableBorderDxfId="1297">
  <autoFilter ref="B13:E17"/>
  <tableColumns count="4">
    <tableColumn id="1" name="HOME" totalsRowLabel="Total" dataDxfId="1295" totalsRowDxfId="1294"/>
    <tableColumn id="2" name="Projected Cost" totalsRowFunction="sum" dataDxfId="1293" totalsRowDxfId="1292"/>
    <tableColumn id="3" name="Actual Cost" totalsRowFunction="sum" dataDxfId="1291" totalsRowDxfId="1290"/>
    <tableColumn id="4" name="Difference" totalsRowFunction="sum" dataDxfId="1289" totalsRowDxfId="1288">
      <calculatedColumnFormula>Table1[Projected Cost]-Table1[Actual Cost]</calculatedColumnFormula>
    </tableColumn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G40:J44" totalsRowCount="1" headerRowDxfId="1191" dataDxfId="1190" totalsRowDxfId="1188" tableBorderDxfId="1189">
  <autoFilter ref="G40:J43"/>
  <tableColumns count="4">
    <tableColumn id="1" name="SAVINGS OR INVESTMENTS" totalsRowLabel="Total" dataDxfId="1187" totalsRowDxfId="1186"/>
    <tableColumn id="2" name="Projected Cost" totalsRowFunction="sum" dataDxfId="1185" totalsRowDxfId="1184"/>
    <tableColumn id="3" name="Actual Cost" totalsRowFunction="sum" dataDxfId="1183" totalsRowDxfId="1182"/>
    <tableColumn id="4" name="Difference" totalsRowFunction="sum" dataDxfId="1181" totalsRowDxfId="1180">
      <calculatedColumnFormula>Table10[Projected Cost]-Table10[Actual Cost]</calculatedColumnFormula>
    </tableColumn>
  </tableColumns>
  <tableStyleInfo name="TableStyleMedium23" showFirstColumn="0" showLastColumn="0" showRowStripes="1" showColumnStripes="0"/>
</table>
</file>

<file path=xl/tables/table100.xml><?xml version="1.0" encoding="utf-8"?>
<table xmlns="http://schemas.openxmlformats.org/spreadsheetml/2006/main" id="100" name="Table6176589101" displayName="Table6176589101" ref="B41:E47" totalsRowCount="1" headerRowDxfId="111" dataDxfId="110" totalsRowDxfId="108" tableBorderDxfId="109">
  <autoFilter ref="B41:E46"/>
  <tableColumns count="4">
    <tableColumn id="1" name="CONNECTIONS" totalsRowLabel="Total" dataDxfId="107" totalsRowDxfId="106"/>
    <tableColumn id="2" name="Projected Cost" totalsRowFunction="sum" dataDxfId="105" totalsRowDxfId="104"/>
    <tableColumn id="3" name="Actual Cost" totalsRowFunction="sum" dataDxfId="103" totalsRowDxfId="102"/>
    <tableColumn id="4" name="Difference" totalsRowFunction="sum" dataDxfId="101" totalsRowDxfId="100">
      <calculatedColumnFormula>Table6176589101[Projected Cost]-Table6176589101[Actual Cost]</calculatedColumnFormula>
    </tableColumn>
  </tableColumns>
  <tableStyleInfo name="TableStyleMedium23" showFirstColumn="0" showLastColumn="0" showRowStripes="1" showColumnStripes="0"/>
</table>
</file>

<file path=xl/tables/table101.xml><?xml version="1.0" encoding="utf-8"?>
<table xmlns="http://schemas.openxmlformats.org/spreadsheetml/2006/main" id="101" name="Table11186690102" displayName="Table11186690102" ref="G46:J50" totalsRowCount="1" headerRowDxfId="99" dataDxfId="98" totalsRowDxfId="96" tableBorderDxfId="97">
  <autoFilter ref="G46:J49"/>
  <tableColumns count="4">
    <tableColumn id="1" name="MEDICAL" totalsRowLabel="Total" dataDxfId="95" totalsRowDxfId="94"/>
    <tableColumn id="2" name="Projected Cost" totalsRowFunction="sum" dataDxfId="93" totalsRowDxfId="92"/>
    <tableColumn id="3" name="Actual Cost" totalsRowFunction="sum" dataDxfId="91" totalsRowDxfId="90"/>
    <tableColumn id="4" name="Difference" totalsRowFunction="sum" dataDxfId="89" totalsRowDxfId="88">
      <calculatedColumnFormula>Table11186690102[Projected Cost]-Table11186690102[Actual Cost]</calculatedColumnFormula>
    </tableColumn>
  </tableColumns>
  <tableStyleInfo name="TableStyleMedium23" showFirstColumn="0" showLastColumn="0" showRowStripes="1" showColumnStripes="0"/>
</table>
</file>

<file path=xl/tables/table102.xml><?xml version="1.0" encoding="utf-8"?>
<table xmlns="http://schemas.openxmlformats.org/spreadsheetml/2006/main" id="102" name="Table5196791103" displayName="Table5196791103" ref="B36:E39" totalsRowCount="1" headerRowDxfId="87" dataDxfId="86" totalsRowDxfId="84" tableBorderDxfId="85">
  <autoFilter ref="B36:E38"/>
  <tableColumns count="4">
    <tableColumn id="1" name="FOOD" totalsRowLabel="Total" dataDxfId="83" totalsRowDxfId="82"/>
    <tableColumn id="2" name="Projected Cost" totalsRowFunction="sum" dataDxfId="81" totalsRowDxfId="80"/>
    <tableColumn id="3" name="Actual Cost" totalsRowFunction="sum" dataDxfId="79" totalsRowDxfId="78"/>
    <tableColumn id="4" name="Difference" totalsRowFunction="sum" dataDxfId="77" totalsRowDxfId="76">
      <calculatedColumnFormula>Table5196791103[Projected Cost]-Table5196791103[Actual Cost]</calculatedColumnFormula>
    </tableColumn>
  </tableColumns>
  <tableStyleInfo name="TableStyleMedium23" showFirstColumn="0" showLastColumn="0" showRowStripes="1" showColumnStripes="0"/>
</table>
</file>

<file path=xl/tables/table103.xml><?xml version="1.0" encoding="utf-8"?>
<table xmlns="http://schemas.openxmlformats.org/spreadsheetml/2006/main" id="103" name="Table9206892104" displayName="Table9206892104" ref="G33:J38" totalsRowCount="1" headerRowDxfId="75" dataDxfId="74" totalsRowDxfId="72" tableBorderDxfId="73">
  <autoFilter ref="G33:J37"/>
  <tableColumns count="4">
    <tableColumn id="1" name="TAXES" totalsRowLabel="Total" dataDxfId="71" totalsRowDxfId="70"/>
    <tableColumn id="2" name="Projected Cost" totalsRowFunction="sum" dataDxfId="69" totalsRowDxfId="68"/>
    <tableColumn id="3" name="Actual Cost" totalsRowFunction="sum" dataDxfId="67" totalsRowDxfId="66"/>
    <tableColumn id="4" name="Difference" totalsRowFunction="sum" dataDxfId="65" totalsRowDxfId="64">
      <calculatedColumnFormula>Table9206892104[Projected Cost]-Table9206892104[Actual Cost]</calculatedColumnFormula>
    </tableColumn>
  </tableColumns>
  <tableStyleInfo name="TableStyleMedium23" showFirstColumn="0" showLastColumn="0" showRowStripes="1" showColumnStripes="0"/>
</table>
</file>

<file path=xl/tables/table104.xml><?xml version="1.0" encoding="utf-8"?>
<table xmlns="http://schemas.openxmlformats.org/spreadsheetml/2006/main" id="104" name="Table3216993105" displayName="Table3216993105" ref="B20:E27" totalsRowCount="1" headerRowDxfId="63" dataDxfId="62" totalsRowDxfId="60" tableBorderDxfId="61">
  <autoFilter ref="B20:E26"/>
  <tableColumns count="4">
    <tableColumn id="1" name="TRANSPORTATION" totalsRowLabel="Total" dataDxfId="59" totalsRowDxfId="58"/>
    <tableColumn id="2" name="Projected Cost" totalsRowFunction="sum" dataDxfId="57" totalsRowDxfId="56"/>
    <tableColumn id="3" name="Actual Cost" totalsRowFunction="sum" dataDxfId="55" totalsRowDxfId="54"/>
    <tableColumn id="4" name="Difference" totalsRowFunction="sum" dataDxfId="53" totalsRowDxfId="52">
      <calculatedColumnFormula>Table3216993105[Projected Cost]-Table3216993105[Actual Cost]</calculatedColumnFormula>
    </tableColumn>
  </tableColumns>
  <tableStyleInfo name="TableStyleMedium23" showFirstColumn="0" showLastColumn="0" showRowStripes="1" showColumnStripes="0"/>
</table>
</file>

<file path=xl/tables/table105.xml><?xml version="1.0" encoding="utf-8"?>
<table xmlns="http://schemas.openxmlformats.org/spreadsheetml/2006/main" id="105" name="Table8227094106" displayName="Table8227094106" ref="G24:J31" totalsRowCount="1" headerRowDxfId="51" dataDxfId="50" totalsRowDxfId="48" tableBorderDxfId="49">
  <autoFilter ref="G24:J30"/>
  <tableColumns count="4">
    <tableColumn id="1" name="LOANS" totalsRowLabel="Total" dataDxfId="47" totalsRowDxfId="46"/>
    <tableColumn id="2" name="Projected Cost" totalsRowFunction="sum" dataDxfId="45" totalsRowDxfId="44"/>
    <tableColumn id="3" name="Actual Cost" totalsRowFunction="sum" dataDxfId="43" totalsRowDxfId="42"/>
    <tableColumn id="4" name="Difference" totalsRowFunction="sum" dataDxfId="41" totalsRowDxfId="40">
      <calculatedColumnFormula>Table8227094106[Projected Cost]-Table8227094106[Actual Cost]</calculatedColumnFormula>
    </tableColumn>
  </tableColumns>
  <tableStyleInfo name="TableStyleMedium23" showFirstColumn="0" showLastColumn="0" showRowStripes="1" showColumnStripes="0"/>
</table>
</file>

<file path=xl/tables/table106.xml><?xml version="1.0" encoding="utf-8"?>
<table xmlns="http://schemas.openxmlformats.org/spreadsheetml/2006/main" id="106" name="Table10237195107" displayName="Table10237195107" ref="G40:J44" totalsRowCount="1" headerRowDxfId="39" dataDxfId="38" totalsRowDxfId="36" tableBorderDxfId="37">
  <autoFilter ref="G40:J43"/>
  <tableColumns count="4">
    <tableColumn id="1" name="SAVINGS OR INVESTMENTS" totalsRowLabel="Total" dataDxfId="35" totalsRowDxfId="34"/>
    <tableColumn id="2" name="Projected Cost" totalsRowFunction="sum" dataDxfId="33" totalsRowDxfId="32"/>
    <tableColumn id="3" name="Actual Cost" totalsRowFunction="sum" dataDxfId="31" totalsRowDxfId="30"/>
    <tableColumn id="4" name="Difference" totalsRowFunction="sum" dataDxfId="29" totalsRowDxfId="28">
      <calculatedColumnFormula>Table10237195107[Projected Cost]-Table10237195107[Actual Cost]</calculatedColumnFormula>
    </tableColumn>
  </tableColumns>
  <tableStyleInfo name="TableStyleMedium23" showFirstColumn="0" showLastColumn="0" showRowStripes="1" showColumnStripes="0"/>
</table>
</file>

<file path=xl/tables/table107.xml><?xml version="1.0" encoding="utf-8"?>
<table xmlns="http://schemas.openxmlformats.org/spreadsheetml/2006/main" id="107" name="Table7247296108" displayName="Table7247296108" ref="B49:E57" totalsRowCount="1" headerRowDxfId="27" dataDxfId="26" totalsRowDxfId="24" tableBorderDxfId="25">
  <autoFilter ref="B49:E56"/>
  <tableColumns count="4">
    <tableColumn id="1" name="PERSONAL CARE" totalsRowLabel="Total" dataDxfId="23" totalsRowDxfId="22"/>
    <tableColumn id="2" name="Projected Cost" totalsRowFunction="sum" dataDxfId="21" totalsRowDxfId="20"/>
    <tableColumn id="3" name="Actual Cost" totalsRowFunction="sum" dataDxfId="19" totalsRowDxfId="18"/>
    <tableColumn id="4" name="Difference" totalsRowFunction="sum" dataDxfId="17" totalsRowDxfId="16">
      <calculatedColumnFormula>Table7247296108[Projected Cost]-Table7247296108[Actual Cost]</calculatedColumnFormula>
    </tableColumn>
  </tableColumns>
  <tableStyleInfo name="TableStyleMedium23" showFirstColumn="0" showLastColumn="0" showRowStripes="1" showColumnStripes="0"/>
</table>
</file>

<file path=xl/tables/table108.xml><?xml version="1.0" encoding="utf-8"?>
<table xmlns="http://schemas.openxmlformats.org/spreadsheetml/2006/main" id="108" name="Table2257397109" displayName="Table2257397109" ref="G12:J22" totalsRowCount="1" headerRowDxfId="15" dataDxfId="14" totalsRowDxfId="12" tableBorderDxfId="13">
  <autoFilter ref="G12:J21"/>
  <tableColumns count="4">
    <tableColumn id="1" name="ENTERTAINMENT" totalsRowLabel="Total" dataDxfId="11" totalsRowDxfId="10"/>
    <tableColumn id="2" name="Projected Cost" totalsRowFunction="sum" dataDxfId="9" totalsRowDxfId="8"/>
    <tableColumn id="3" name="Actual Cost" totalsRowFunction="sum" dataDxfId="7" totalsRowDxfId="6"/>
    <tableColumn id="4" name="Difference" totalsRowFunction="sum" dataDxfId="5" totalsRowDxfId="4">
      <calculatedColumnFormula>Table2257397109[Projected Cost]-Table2257397109[Actual Cost]</calculatedColumnFormula>
    </tableColumn>
  </tableColumns>
  <tableStyleInfo name="TableStyleMedium23" showFirstColumn="0" showLastColumn="0" showRowStripes="1" showColumnStripes="0"/>
</table>
</file>

<file path=xl/tables/table109.xml><?xml version="1.0" encoding="utf-8"?>
<table xmlns="http://schemas.openxmlformats.org/spreadsheetml/2006/main" id="109" name="Table109" displayName="Table109" ref="A3:B13" totalsRowShown="0" headerRowDxfId="3" dataDxfId="2">
  <autoFilter ref="A3:B13"/>
  <tableColumns count="2">
    <tableColumn id="1" name="Annual Expenses By Month" dataDxfId="1"/>
    <tableColumn id="2" name="Total" dataDxfId="0"/>
  </tableColumns>
  <tableStyleInfo name="TableStyleLight11" showFirstColumn="0" showLastColumn="0" showRowStripes="1" showColumnStripes="0"/>
</table>
</file>

<file path=xl/tables/table11.xml><?xml version="1.0" encoding="utf-8"?>
<table xmlns="http://schemas.openxmlformats.org/spreadsheetml/2006/main" id="7" name="Table7" displayName="Table7" ref="B49:E57" totalsRowCount="1" headerRowDxfId="1179" dataDxfId="1178" totalsRowDxfId="1176" tableBorderDxfId="1177">
  <autoFilter ref="B49:E56"/>
  <tableColumns count="4">
    <tableColumn id="1" name="PERSONAL CARE" totalsRowLabel="Total" dataDxfId="1175" totalsRowDxfId="1174"/>
    <tableColumn id="2" name="Projected Cost" totalsRowFunction="sum" dataDxfId="1173" totalsRowDxfId="1172"/>
    <tableColumn id="3" name="Actual Cost" totalsRowFunction="sum" dataDxfId="1171" totalsRowDxfId="1170"/>
    <tableColumn id="4" name="Difference" totalsRowFunction="sum" dataDxfId="1169" totalsRowDxfId="1168">
      <calculatedColumnFormula>Table7[Projected Cost]-Table7[Actual Cost]</calculatedColumnFormula>
    </tableColumn>
  </tableColumns>
  <tableStyleInfo name="TableStyleMedium23" showFirstColumn="0" showLastColumn="0" showRowStripes="1" showColumnStripes="0"/>
</table>
</file>

<file path=xl/tables/table12.xml><?xml version="1.0" encoding="utf-8"?>
<table xmlns="http://schemas.openxmlformats.org/spreadsheetml/2006/main" id="2" name="Table2" displayName="Table2" ref="G12:J22" totalsRowCount="1" headerRowDxfId="1167" dataDxfId="1166" totalsRowDxfId="1164" tableBorderDxfId="1165">
  <autoFilter ref="G12:J21"/>
  <tableColumns count="4">
    <tableColumn id="1" name="ENTERTAINMENT" totalsRowLabel="Total" dataDxfId="1163" totalsRowDxfId="1162"/>
    <tableColumn id="2" name="Projected Cost" totalsRowFunction="sum" dataDxfId="1161" totalsRowDxfId="1160"/>
    <tableColumn id="3" name="Actual Cost" totalsRowFunction="sum" dataDxfId="1159" totalsRowDxfId="1158"/>
    <tableColumn id="4" name="Difference" totalsRowFunction="sum" dataDxfId="1157" totalsRowDxfId="1156">
      <calculatedColumnFormula>Table2[Projected Cost]-Table2[Actual Cost]</calculatedColumnFormula>
    </tableColumn>
  </tableColumns>
  <tableStyleInfo name="TableStyleMedium23" showFirstColumn="0" showLastColumn="0" showRowStripes="1" showColumnStripes="0"/>
</table>
</file>

<file path=xl/tables/table13.xml><?xml version="1.0" encoding="utf-8"?>
<table xmlns="http://schemas.openxmlformats.org/spreadsheetml/2006/main" id="49" name="Table114263850" displayName="Table114263850" ref="B13:E18" totalsRowCount="1" headerRowDxfId="1155" dataDxfId="1154" totalsRowDxfId="1152" tableBorderDxfId="1153">
  <autoFilter ref="B13:E17"/>
  <tableColumns count="4">
    <tableColumn id="1" name="HOME" totalsRowLabel="Total" dataDxfId="1151" totalsRowDxfId="1150"/>
    <tableColumn id="2" name="Projected Cost" totalsRowFunction="sum" dataDxfId="1149" totalsRowDxfId="1148"/>
    <tableColumn id="3" name="Actual Cost" totalsRowFunction="sum" dataDxfId="1147" totalsRowDxfId="1146"/>
    <tableColumn id="4" name="Difference" totalsRowFunction="sum" dataDxfId="1145" totalsRowDxfId="1144">
      <calculatedColumnFormula>Table114263850[Projected Cost]-Table114263850[Actual Cost]</calculatedColumnFormula>
    </tableColumn>
  </tableColumns>
  <tableStyleInfo name="TableStyleMedium23" showFirstColumn="0" showLastColumn="0" showRowStripes="1" showColumnStripes="0"/>
</table>
</file>

<file path=xl/tables/table14.xml><?xml version="1.0" encoding="utf-8"?>
<table xmlns="http://schemas.openxmlformats.org/spreadsheetml/2006/main" id="50" name="Table415273951" displayName="Table415273951" ref="B29:E34" totalsRowCount="1" headerRowDxfId="1143" dataDxfId="1142" totalsRowDxfId="1140" tableBorderDxfId="1141">
  <autoFilter ref="B29:E33"/>
  <tableColumns count="4">
    <tableColumn id="1" name="UTILITIES" totalsRowLabel="Total" dataDxfId="1139" totalsRowDxfId="1138"/>
    <tableColumn id="2" name="Projected Cost" totalsRowFunction="sum" dataDxfId="1137" totalsRowDxfId="1136"/>
    <tableColumn id="3" name="Actual Cost" totalsRowFunction="sum" dataDxfId="1135" totalsRowDxfId="1134"/>
    <tableColumn id="4" name="Difference" totalsRowFunction="sum" dataDxfId="1133" totalsRowDxfId="1132">
      <calculatedColumnFormula>Table415273951[Projected Cost]-Table415273951[Actual Cost]</calculatedColumnFormula>
    </tableColumn>
  </tableColumns>
  <tableStyleInfo name="TableStyleMedium23" showFirstColumn="0" showLastColumn="0" showRowStripes="1" showColumnStripes="0"/>
</table>
</file>

<file path=xl/tables/table15.xml><?xml version="1.0" encoding="utf-8"?>
<table xmlns="http://schemas.openxmlformats.org/spreadsheetml/2006/main" id="51" name="Table1216284052" displayName="Table1216284052" ref="G52:J57" totalsRowCount="1" headerRowDxfId="1131" dataDxfId="1130" totalsRowDxfId="1128" tableBorderDxfId="1129">
  <autoFilter ref="G52:J56"/>
  <tableColumns count="4">
    <tableColumn id="1" name="MISC" totalsRowLabel="Total" dataDxfId="1127" totalsRowDxfId="1126"/>
    <tableColumn id="2" name="Projected Cost" totalsRowFunction="sum" dataDxfId="1125" totalsRowDxfId="1124"/>
    <tableColumn id="3" name="Actual Cost" totalsRowFunction="sum" dataDxfId="1123" totalsRowDxfId="1122"/>
    <tableColumn id="4" name="Difference" totalsRowFunction="sum" dataDxfId="1121" totalsRowDxfId="1120">
      <calculatedColumnFormula>Table1216284052[Projected Cost]-Table1216284052[Actual Cost]</calculatedColumnFormula>
    </tableColumn>
  </tableColumns>
  <tableStyleInfo name="TableStyleMedium23" showFirstColumn="0" showLastColumn="0" showRowStripes="1" showColumnStripes="0"/>
</table>
</file>

<file path=xl/tables/table16.xml><?xml version="1.0" encoding="utf-8"?>
<table xmlns="http://schemas.openxmlformats.org/spreadsheetml/2006/main" id="52" name="Table617294153" displayName="Table617294153" ref="B41:E47" totalsRowCount="1" headerRowDxfId="1119" dataDxfId="1118" totalsRowDxfId="1116" tableBorderDxfId="1117">
  <autoFilter ref="B41:E46"/>
  <tableColumns count="4">
    <tableColumn id="1" name="CONNECTIONS" totalsRowLabel="Total" dataDxfId="1115" totalsRowDxfId="1114"/>
    <tableColumn id="2" name="Projected Cost" totalsRowFunction="sum" dataDxfId="1113" totalsRowDxfId="1112"/>
    <tableColumn id="3" name="Actual Cost" totalsRowFunction="sum" dataDxfId="1111" totalsRowDxfId="1110"/>
    <tableColumn id="4" name="Difference" totalsRowFunction="sum" dataDxfId="1109" totalsRowDxfId="1108">
      <calculatedColumnFormula>Table617294153[Projected Cost]-Table617294153[Actual Cost]</calculatedColumnFormula>
    </tableColumn>
  </tableColumns>
  <tableStyleInfo name="TableStyleMedium23" showFirstColumn="0" showLastColumn="0" showRowStripes="1" showColumnStripes="0"/>
</table>
</file>

<file path=xl/tables/table17.xml><?xml version="1.0" encoding="utf-8"?>
<table xmlns="http://schemas.openxmlformats.org/spreadsheetml/2006/main" id="53" name="Table1118304254" displayName="Table1118304254" ref="G46:J50" totalsRowCount="1" headerRowDxfId="1107" dataDxfId="1106" totalsRowDxfId="1104" tableBorderDxfId="1105">
  <autoFilter ref="G46:J49"/>
  <tableColumns count="4">
    <tableColumn id="1" name="MEDICAL" totalsRowLabel="Total" dataDxfId="1103" totalsRowDxfId="1102"/>
    <tableColumn id="2" name="Projected Cost" totalsRowFunction="sum" dataDxfId="1101" totalsRowDxfId="1100"/>
    <tableColumn id="3" name="Actual Cost" totalsRowFunction="sum" dataDxfId="1099" totalsRowDxfId="1098"/>
    <tableColumn id="4" name="Difference" totalsRowFunction="sum" dataDxfId="1097" totalsRowDxfId="1096">
      <calculatedColumnFormula>Table1118304254[Projected Cost]-Table1118304254[Actual Cost]</calculatedColumnFormula>
    </tableColumn>
  </tableColumns>
  <tableStyleInfo name="TableStyleMedium23" showFirstColumn="0" showLastColumn="0" showRowStripes="1" showColumnStripes="0"/>
</table>
</file>

<file path=xl/tables/table18.xml><?xml version="1.0" encoding="utf-8"?>
<table xmlns="http://schemas.openxmlformats.org/spreadsheetml/2006/main" id="54" name="Table519314355" displayName="Table519314355" ref="B36:E39" totalsRowCount="1" headerRowDxfId="1095" dataDxfId="1094" totalsRowDxfId="1092" tableBorderDxfId="1093">
  <autoFilter ref="B36:E38"/>
  <tableColumns count="4">
    <tableColumn id="1" name="FOOD" totalsRowLabel="Total" dataDxfId="1091" totalsRowDxfId="1090"/>
    <tableColumn id="2" name="Projected Cost" totalsRowFunction="sum" dataDxfId="1089" totalsRowDxfId="1088"/>
    <tableColumn id="3" name="Actual Cost" totalsRowFunction="sum" dataDxfId="1087" totalsRowDxfId="1086"/>
    <tableColumn id="4" name="Difference" totalsRowFunction="sum" dataDxfId="1085" totalsRowDxfId="1084">
      <calculatedColumnFormula>Table519314355[Projected Cost]-Table519314355[Actual Cost]</calculatedColumnFormula>
    </tableColumn>
  </tableColumns>
  <tableStyleInfo name="TableStyleMedium23" showFirstColumn="0" showLastColumn="0" showRowStripes="1" showColumnStripes="0"/>
</table>
</file>

<file path=xl/tables/table19.xml><?xml version="1.0" encoding="utf-8"?>
<table xmlns="http://schemas.openxmlformats.org/spreadsheetml/2006/main" id="55" name="Table920324456" displayName="Table920324456" ref="G33:J38" totalsRowCount="1" headerRowDxfId="1083" dataDxfId="1082" totalsRowDxfId="1080" tableBorderDxfId="1081">
  <autoFilter ref="G33:J37"/>
  <tableColumns count="4">
    <tableColumn id="1" name="TAXES" totalsRowLabel="Total" dataDxfId="1079" totalsRowDxfId="1078"/>
    <tableColumn id="2" name="Projected Cost" totalsRowFunction="sum" dataDxfId="1077" totalsRowDxfId="1076"/>
    <tableColumn id="3" name="Actual Cost" totalsRowFunction="sum" dataDxfId="1075" totalsRowDxfId="1074"/>
    <tableColumn id="4" name="Difference" totalsRowFunction="sum" dataDxfId="1073" totalsRowDxfId="1072">
      <calculatedColumnFormula>Table920324456[Projected Cost]-Table920324456[Actual Cost]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29:E34" totalsRowCount="1" headerRowDxfId="1287" dataDxfId="1286" totalsRowDxfId="1284" tableBorderDxfId="1285">
  <autoFilter ref="B29:E33"/>
  <tableColumns count="4">
    <tableColumn id="1" name="UTILITIES" totalsRowLabel="Total" dataDxfId="1283" totalsRowDxfId="1282"/>
    <tableColumn id="2" name="Projected Cost" totalsRowFunction="sum" dataDxfId="1281" totalsRowDxfId="1280"/>
    <tableColumn id="3" name="Actual Cost" totalsRowFunction="sum" dataDxfId="1279" totalsRowDxfId="1278"/>
    <tableColumn id="4" name="Difference" totalsRowFunction="sum" dataDxfId="1277" totalsRowDxfId="1276">
      <calculatedColumnFormula>Table4[Projected Cost]-Table4[Actual Cost]</calculatedColumnFormula>
    </tableColumn>
  </tableColumns>
  <tableStyleInfo name="TableStyleMedium23" showFirstColumn="0" showLastColumn="0" showRowStripes="1" showColumnStripes="0"/>
</table>
</file>

<file path=xl/tables/table20.xml><?xml version="1.0" encoding="utf-8"?>
<table xmlns="http://schemas.openxmlformats.org/spreadsheetml/2006/main" id="56" name="Table321334557" displayName="Table321334557" ref="B20:E27" totalsRowCount="1" headerRowDxfId="1071" dataDxfId="1070" totalsRowDxfId="1068" tableBorderDxfId="1069">
  <autoFilter ref="B20:E26"/>
  <tableColumns count="4">
    <tableColumn id="1" name="TRANSPORTATION" totalsRowLabel="Total" dataDxfId="1067" totalsRowDxfId="1066"/>
    <tableColumn id="2" name="Projected Cost" totalsRowFunction="sum" dataDxfId="1065" totalsRowDxfId="1064"/>
    <tableColumn id="3" name="Actual Cost" totalsRowFunction="sum" dataDxfId="1063" totalsRowDxfId="1062"/>
    <tableColumn id="4" name="Difference" totalsRowFunction="sum" dataDxfId="1061" totalsRowDxfId="1060">
      <calculatedColumnFormula>Table321334557[Projected Cost]-Table321334557[Actual Cost]</calculatedColumnFormula>
    </tableColumn>
  </tableColumns>
  <tableStyleInfo name="TableStyleMedium23" showFirstColumn="0" showLastColumn="0" showRowStripes="1" showColumnStripes="0"/>
</table>
</file>

<file path=xl/tables/table21.xml><?xml version="1.0" encoding="utf-8"?>
<table xmlns="http://schemas.openxmlformats.org/spreadsheetml/2006/main" id="57" name="Table822344658" displayName="Table822344658" ref="G24:J31" totalsRowCount="1" headerRowDxfId="1059" dataDxfId="1058" totalsRowDxfId="1056" tableBorderDxfId="1057">
  <autoFilter ref="G24:J30"/>
  <tableColumns count="4">
    <tableColumn id="1" name="LOANS" totalsRowLabel="Total" dataDxfId="1055" totalsRowDxfId="1054"/>
    <tableColumn id="2" name="Projected Cost" totalsRowFunction="sum" dataDxfId="1053" totalsRowDxfId="1052"/>
    <tableColumn id="3" name="Actual Cost" totalsRowFunction="sum" dataDxfId="1051" totalsRowDxfId="1050"/>
    <tableColumn id="4" name="Difference" totalsRowFunction="sum" dataDxfId="1049" totalsRowDxfId="1048">
      <calculatedColumnFormula>Table822344658[Projected Cost]-Table822344658[Actual Cost]</calculatedColumnFormula>
    </tableColumn>
  </tableColumns>
  <tableStyleInfo name="TableStyleMedium23" showFirstColumn="0" showLastColumn="0" showRowStripes="1" showColumnStripes="0"/>
</table>
</file>

<file path=xl/tables/table22.xml><?xml version="1.0" encoding="utf-8"?>
<table xmlns="http://schemas.openxmlformats.org/spreadsheetml/2006/main" id="58" name="Table1023354759" displayName="Table1023354759" ref="G40:J44" totalsRowCount="1" headerRowDxfId="1047" dataDxfId="1046" totalsRowDxfId="1044" tableBorderDxfId="1045">
  <autoFilter ref="G40:J43"/>
  <tableColumns count="4">
    <tableColumn id="1" name="SAVINGS OR INVESTMENTS" totalsRowLabel="Total" dataDxfId="1043" totalsRowDxfId="1042"/>
    <tableColumn id="2" name="Projected Cost" totalsRowFunction="sum" dataDxfId="1041" totalsRowDxfId="1040"/>
    <tableColumn id="3" name="Actual Cost" totalsRowFunction="sum" dataDxfId="1039" totalsRowDxfId="1038"/>
    <tableColumn id="4" name="Difference" totalsRowFunction="sum" dataDxfId="1037" totalsRowDxfId="1036">
      <calculatedColumnFormula>Table1023354759[Projected Cost]-Table1023354759[Actual Cost]</calculatedColumnFormula>
    </tableColumn>
  </tableColumns>
  <tableStyleInfo name="TableStyleMedium23" showFirstColumn="0" showLastColumn="0" showRowStripes="1" showColumnStripes="0"/>
</table>
</file>

<file path=xl/tables/table23.xml><?xml version="1.0" encoding="utf-8"?>
<table xmlns="http://schemas.openxmlformats.org/spreadsheetml/2006/main" id="59" name="Table724364860" displayName="Table724364860" ref="B49:E57" totalsRowCount="1" headerRowDxfId="1035" dataDxfId="1034" totalsRowDxfId="1032" tableBorderDxfId="1033">
  <autoFilter ref="B49:E56"/>
  <tableColumns count="4">
    <tableColumn id="1" name="PERSONAL CARE" totalsRowLabel="Total" dataDxfId="1031" totalsRowDxfId="1030"/>
    <tableColumn id="2" name="Projected Cost" totalsRowFunction="sum" dataDxfId="1029" totalsRowDxfId="1028"/>
    <tableColumn id="3" name="Actual Cost" totalsRowFunction="sum" dataDxfId="1027" totalsRowDxfId="1026"/>
    <tableColumn id="4" name="Difference" totalsRowFunction="sum" dataDxfId="1025" totalsRowDxfId="1024">
      <calculatedColumnFormula>Table724364860[Projected Cost]-Table724364860[Actual Cost]</calculatedColumnFormula>
    </tableColumn>
  </tableColumns>
  <tableStyleInfo name="TableStyleMedium23" showFirstColumn="0" showLastColumn="0" showRowStripes="1" showColumnStripes="0"/>
</table>
</file>

<file path=xl/tables/table24.xml><?xml version="1.0" encoding="utf-8"?>
<table xmlns="http://schemas.openxmlformats.org/spreadsheetml/2006/main" id="60" name="Table225374961" displayName="Table225374961" ref="G12:J22" totalsRowCount="1" headerRowDxfId="1023" dataDxfId="1022" totalsRowDxfId="1020" tableBorderDxfId="1021">
  <autoFilter ref="G12:J21"/>
  <tableColumns count="4">
    <tableColumn id="1" name="ENTERTAINMENT" totalsRowLabel="Total" dataDxfId="1019" totalsRowDxfId="1018"/>
    <tableColumn id="2" name="Projected Cost" totalsRowFunction="sum" dataDxfId="1017" totalsRowDxfId="1016"/>
    <tableColumn id="3" name="Actual Cost" totalsRowFunction="sum" dataDxfId="1015" totalsRowDxfId="1014"/>
    <tableColumn id="4" name="Difference" totalsRowFunction="sum" dataDxfId="1013" totalsRowDxfId="1012">
      <calculatedColumnFormula>Table225374961[Projected Cost]-Table225374961[Actual Cost]</calculatedColumnFormula>
    </tableColumn>
  </tableColumns>
  <tableStyleInfo name="TableStyleMedium23" showFirstColumn="0" showLastColumn="0" showRowStripes="1" showColumnStripes="0"/>
</table>
</file>

<file path=xl/tables/table25.xml><?xml version="1.0" encoding="utf-8"?>
<table xmlns="http://schemas.openxmlformats.org/spreadsheetml/2006/main" id="37" name="Table1142638" displayName="Table1142638" ref="B13:E18" totalsRowCount="1" headerRowDxfId="1011" dataDxfId="1010" totalsRowDxfId="1008" tableBorderDxfId="1009">
  <autoFilter ref="B13:E17"/>
  <tableColumns count="4">
    <tableColumn id="1" name="HOME" totalsRowLabel="Total" dataDxfId="1007" totalsRowDxfId="1006"/>
    <tableColumn id="2" name="Projected Cost" totalsRowFunction="sum" dataDxfId="1005" totalsRowDxfId="1004"/>
    <tableColumn id="3" name="Actual Cost" totalsRowFunction="sum" dataDxfId="1003" totalsRowDxfId="1002"/>
    <tableColumn id="4" name="Difference" totalsRowFunction="sum" dataDxfId="1001" totalsRowDxfId="1000">
      <calculatedColumnFormula>Table1142638[Projected Cost]-Table1142638[Actual Cost]</calculatedColumnFormula>
    </tableColumn>
  </tableColumns>
  <tableStyleInfo name="TableStyleMedium23" showFirstColumn="0" showLastColumn="0" showRowStripes="1" showColumnStripes="0"/>
</table>
</file>

<file path=xl/tables/table26.xml><?xml version="1.0" encoding="utf-8"?>
<table xmlns="http://schemas.openxmlformats.org/spreadsheetml/2006/main" id="38" name="Table4152739" displayName="Table4152739" ref="B29:E34" totalsRowCount="1" headerRowDxfId="999" dataDxfId="998" totalsRowDxfId="996" tableBorderDxfId="997">
  <autoFilter ref="B29:E33"/>
  <tableColumns count="4">
    <tableColumn id="1" name="UTILITIES" totalsRowLabel="Total" dataDxfId="995" totalsRowDxfId="994"/>
    <tableColumn id="2" name="Projected Cost" totalsRowFunction="sum" dataDxfId="993" totalsRowDxfId="992"/>
    <tableColumn id="3" name="Actual Cost" totalsRowFunction="sum" dataDxfId="991" totalsRowDxfId="990"/>
    <tableColumn id="4" name="Difference" totalsRowFunction="sum" dataDxfId="989" totalsRowDxfId="988">
      <calculatedColumnFormula>Table4152739[Projected Cost]-Table4152739[Actual Cost]</calculatedColumnFormula>
    </tableColumn>
  </tableColumns>
  <tableStyleInfo name="TableStyleMedium23" showFirstColumn="0" showLastColumn="0" showRowStripes="1" showColumnStripes="0"/>
</table>
</file>

<file path=xl/tables/table27.xml><?xml version="1.0" encoding="utf-8"?>
<table xmlns="http://schemas.openxmlformats.org/spreadsheetml/2006/main" id="39" name="Table12162840" displayName="Table12162840" ref="G52:J57" totalsRowCount="1" headerRowDxfId="987" dataDxfId="986" totalsRowDxfId="984" tableBorderDxfId="985">
  <autoFilter ref="G52:J56"/>
  <tableColumns count="4">
    <tableColumn id="1" name="MISC" totalsRowLabel="Total" dataDxfId="983" totalsRowDxfId="982"/>
    <tableColumn id="2" name="Projected Cost" totalsRowFunction="sum" dataDxfId="981" totalsRowDxfId="980"/>
    <tableColumn id="3" name="Actual Cost" totalsRowFunction="sum" dataDxfId="979" totalsRowDxfId="978"/>
    <tableColumn id="4" name="Difference" totalsRowFunction="sum" dataDxfId="977" totalsRowDxfId="976">
      <calculatedColumnFormula>Table12162840[Projected Cost]-Table12162840[Actual Cost]</calculatedColumnFormula>
    </tableColumn>
  </tableColumns>
  <tableStyleInfo name="TableStyleMedium23" showFirstColumn="0" showLastColumn="0" showRowStripes="1" showColumnStripes="0"/>
</table>
</file>

<file path=xl/tables/table28.xml><?xml version="1.0" encoding="utf-8"?>
<table xmlns="http://schemas.openxmlformats.org/spreadsheetml/2006/main" id="40" name="Table6172941" displayName="Table6172941" ref="B41:E47" totalsRowCount="1" headerRowDxfId="975" dataDxfId="974" totalsRowDxfId="972" tableBorderDxfId="973">
  <autoFilter ref="B41:E46"/>
  <tableColumns count="4">
    <tableColumn id="1" name="CONNECTIONS" totalsRowLabel="Total" dataDxfId="971" totalsRowDxfId="970"/>
    <tableColumn id="2" name="Projected Cost" totalsRowFunction="sum" dataDxfId="969" totalsRowDxfId="968"/>
    <tableColumn id="3" name="Actual Cost" totalsRowFunction="sum" dataDxfId="967" totalsRowDxfId="966"/>
    <tableColumn id="4" name="Difference" totalsRowFunction="sum" dataDxfId="965" totalsRowDxfId="964">
      <calculatedColumnFormula>Table6172941[Projected Cost]-Table6172941[Actual Cost]</calculatedColumnFormula>
    </tableColumn>
  </tableColumns>
  <tableStyleInfo name="TableStyleMedium23" showFirstColumn="0" showLastColumn="0" showRowStripes="1" showColumnStripes="0"/>
</table>
</file>

<file path=xl/tables/table29.xml><?xml version="1.0" encoding="utf-8"?>
<table xmlns="http://schemas.openxmlformats.org/spreadsheetml/2006/main" id="41" name="Table11183042" displayName="Table11183042" ref="G46:J50" totalsRowCount="1" headerRowDxfId="963" dataDxfId="962" totalsRowDxfId="960" tableBorderDxfId="961">
  <autoFilter ref="G46:J49"/>
  <tableColumns count="4">
    <tableColumn id="1" name="MEDICAL" totalsRowLabel="Total" dataDxfId="959" totalsRowDxfId="958"/>
    <tableColumn id="2" name="Projected Cost" totalsRowFunction="sum" dataDxfId="957" totalsRowDxfId="956"/>
    <tableColumn id="3" name="Actual Cost" totalsRowFunction="sum" dataDxfId="955" totalsRowDxfId="954"/>
    <tableColumn id="4" name="Difference" totalsRowFunction="sum" dataDxfId="953" totalsRowDxfId="952">
      <calculatedColumnFormula>Table11183042[Projected Cost]-Table11183042[Actual Cost]</calculatedColumnFormula>
    </tableColumn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12" name="Table12" displayName="Table12" ref="G52:J57" totalsRowCount="1" headerRowDxfId="1275" dataDxfId="1274" totalsRowDxfId="1272" tableBorderDxfId="1273">
  <autoFilter ref="G52:J56"/>
  <tableColumns count="4">
    <tableColumn id="1" name="MISC" totalsRowLabel="Total" dataDxfId="1271" totalsRowDxfId="1270"/>
    <tableColumn id="2" name="Projected Cost" totalsRowFunction="sum" dataDxfId="1269" totalsRowDxfId="1268"/>
    <tableColumn id="3" name="Actual Cost" totalsRowFunction="sum" dataDxfId="1267" totalsRowDxfId="1266"/>
    <tableColumn id="4" name="Difference" totalsRowFunction="sum" dataDxfId="1265" totalsRowDxfId="1264">
      <calculatedColumnFormula>Table12[Projected Cost]-Table12[Actual Cost]</calculatedColumnFormula>
    </tableColumn>
  </tableColumns>
  <tableStyleInfo name="TableStyleMedium23" showFirstColumn="0" showLastColumn="0" showRowStripes="1" showColumnStripes="0"/>
</table>
</file>

<file path=xl/tables/table30.xml><?xml version="1.0" encoding="utf-8"?>
<table xmlns="http://schemas.openxmlformats.org/spreadsheetml/2006/main" id="42" name="Table5193143" displayName="Table5193143" ref="B36:E39" totalsRowCount="1" headerRowDxfId="951" dataDxfId="950" totalsRowDxfId="948" tableBorderDxfId="949">
  <autoFilter ref="B36:E38"/>
  <tableColumns count="4">
    <tableColumn id="1" name="FOOD" totalsRowLabel="Total" dataDxfId="947" totalsRowDxfId="946"/>
    <tableColumn id="2" name="Projected Cost" totalsRowFunction="sum" dataDxfId="945" totalsRowDxfId="944"/>
    <tableColumn id="3" name="Actual Cost" totalsRowFunction="sum" dataDxfId="943" totalsRowDxfId="942"/>
    <tableColumn id="4" name="Difference" totalsRowFunction="sum" dataDxfId="941" totalsRowDxfId="940">
      <calculatedColumnFormula>Table5193143[Projected Cost]-Table5193143[Actual Cost]</calculatedColumnFormula>
    </tableColumn>
  </tableColumns>
  <tableStyleInfo name="TableStyleMedium23" showFirstColumn="0" showLastColumn="0" showRowStripes="1" showColumnStripes="0"/>
</table>
</file>

<file path=xl/tables/table31.xml><?xml version="1.0" encoding="utf-8"?>
<table xmlns="http://schemas.openxmlformats.org/spreadsheetml/2006/main" id="43" name="Table9203244" displayName="Table9203244" ref="G33:J38" totalsRowCount="1" headerRowDxfId="939" dataDxfId="938" totalsRowDxfId="936" tableBorderDxfId="937">
  <autoFilter ref="G33:J37"/>
  <tableColumns count="4">
    <tableColumn id="1" name="TAXES" totalsRowLabel="Total" dataDxfId="935" totalsRowDxfId="934"/>
    <tableColumn id="2" name="Projected Cost" totalsRowFunction="sum" dataDxfId="933" totalsRowDxfId="932"/>
    <tableColumn id="3" name="Actual Cost" totalsRowFunction="sum" dataDxfId="931" totalsRowDxfId="930"/>
    <tableColumn id="4" name="Difference" totalsRowFunction="sum" dataDxfId="929" totalsRowDxfId="928">
      <calculatedColumnFormula>Table9203244[Projected Cost]-Table9203244[Actual Cost]</calculatedColumnFormula>
    </tableColumn>
  </tableColumns>
  <tableStyleInfo name="TableStyleMedium23" showFirstColumn="0" showLastColumn="0" showRowStripes="1" showColumnStripes="0"/>
</table>
</file>

<file path=xl/tables/table32.xml><?xml version="1.0" encoding="utf-8"?>
<table xmlns="http://schemas.openxmlformats.org/spreadsheetml/2006/main" id="44" name="Table3213345" displayName="Table3213345" ref="B20:E27" totalsRowCount="1" headerRowDxfId="927" dataDxfId="926" totalsRowDxfId="924" tableBorderDxfId="925">
  <autoFilter ref="B20:E26"/>
  <tableColumns count="4">
    <tableColumn id="1" name="TRANSPORTATION" totalsRowLabel="Total" dataDxfId="923" totalsRowDxfId="922"/>
    <tableColumn id="2" name="Projected Cost" totalsRowFunction="sum" dataDxfId="921" totalsRowDxfId="920"/>
    <tableColumn id="3" name="Actual Cost" totalsRowFunction="sum" dataDxfId="919" totalsRowDxfId="918"/>
    <tableColumn id="4" name="Difference" totalsRowFunction="sum" dataDxfId="917" totalsRowDxfId="916">
      <calculatedColumnFormula>Table3213345[Projected Cost]-Table3213345[Actual Cost]</calculatedColumnFormula>
    </tableColumn>
  </tableColumns>
  <tableStyleInfo name="TableStyleMedium23" showFirstColumn="0" showLastColumn="0" showRowStripes="1" showColumnStripes="0"/>
</table>
</file>

<file path=xl/tables/table33.xml><?xml version="1.0" encoding="utf-8"?>
<table xmlns="http://schemas.openxmlformats.org/spreadsheetml/2006/main" id="45" name="Table8223446" displayName="Table8223446" ref="G24:J31" totalsRowCount="1" headerRowDxfId="915" dataDxfId="914" totalsRowDxfId="912" tableBorderDxfId="913">
  <autoFilter ref="G24:J30"/>
  <tableColumns count="4">
    <tableColumn id="1" name="LOANS" totalsRowLabel="Total" dataDxfId="911" totalsRowDxfId="910"/>
    <tableColumn id="2" name="Projected Cost" totalsRowFunction="sum" dataDxfId="909" totalsRowDxfId="908"/>
    <tableColumn id="3" name="Actual Cost" totalsRowFunction="sum" dataDxfId="907" totalsRowDxfId="906"/>
    <tableColumn id="4" name="Difference" totalsRowFunction="sum" dataDxfId="905" totalsRowDxfId="904">
      <calculatedColumnFormula>Table8223446[Projected Cost]-Table8223446[Actual Cost]</calculatedColumnFormula>
    </tableColumn>
  </tableColumns>
  <tableStyleInfo name="TableStyleMedium23" showFirstColumn="0" showLastColumn="0" showRowStripes="1" showColumnStripes="0"/>
</table>
</file>

<file path=xl/tables/table34.xml><?xml version="1.0" encoding="utf-8"?>
<table xmlns="http://schemas.openxmlformats.org/spreadsheetml/2006/main" id="46" name="Table10233547" displayName="Table10233547" ref="G40:J44" totalsRowCount="1" headerRowDxfId="903" dataDxfId="902" totalsRowDxfId="900" tableBorderDxfId="901">
  <autoFilter ref="G40:J43"/>
  <tableColumns count="4">
    <tableColumn id="1" name="SAVINGS OR INVESTMENTS" totalsRowLabel="Total" dataDxfId="899" totalsRowDxfId="898"/>
    <tableColumn id="2" name="Projected Cost" totalsRowFunction="sum" dataDxfId="897" totalsRowDxfId="896"/>
    <tableColumn id="3" name="Actual Cost" totalsRowFunction="sum" dataDxfId="895" totalsRowDxfId="894"/>
    <tableColumn id="4" name="Difference" totalsRowFunction="sum" dataDxfId="893" totalsRowDxfId="892">
      <calculatedColumnFormula>Table10233547[Projected Cost]-Table10233547[Actual Cost]</calculatedColumnFormula>
    </tableColumn>
  </tableColumns>
  <tableStyleInfo name="TableStyleMedium23" showFirstColumn="0" showLastColumn="0" showRowStripes="1" showColumnStripes="0"/>
</table>
</file>

<file path=xl/tables/table35.xml><?xml version="1.0" encoding="utf-8"?>
<table xmlns="http://schemas.openxmlformats.org/spreadsheetml/2006/main" id="47" name="Table7243648" displayName="Table7243648" ref="B49:E57" totalsRowCount="1" headerRowDxfId="891" dataDxfId="890" totalsRowDxfId="888" tableBorderDxfId="889">
  <autoFilter ref="B49:E56"/>
  <tableColumns count="4">
    <tableColumn id="1" name="PERSONAL CARE" totalsRowLabel="Total" dataDxfId="887" totalsRowDxfId="886"/>
    <tableColumn id="2" name="Projected Cost" totalsRowFunction="sum" dataDxfId="885" totalsRowDxfId="884"/>
    <tableColumn id="3" name="Actual Cost" totalsRowFunction="sum" dataDxfId="883" totalsRowDxfId="882"/>
    <tableColumn id="4" name="Difference" totalsRowFunction="sum" dataDxfId="881" totalsRowDxfId="880">
      <calculatedColumnFormula>Table7243648[Projected Cost]-Table7243648[Actual Cost]</calculatedColumnFormula>
    </tableColumn>
  </tableColumns>
  <tableStyleInfo name="TableStyleMedium23" showFirstColumn="0" showLastColumn="0" showRowStripes="1" showColumnStripes="0"/>
</table>
</file>

<file path=xl/tables/table36.xml><?xml version="1.0" encoding="utf-8"?>
<table xmlns="http://schemas.openxmlformats.org/spreadsheetml/2006/main" id="48" name="Table2253749" displayName="Table2253749" ref="G12:J22" totalsRowCount="1" headerRowDxfId="879" dataDxfId="878" totalsRowDxfId="876" tableBorderDxfId="877">
  <autoFilter ref="G12:J21"/>
  <tableColumns count="4">
    <tableColumn id="1" name="ENTERTAINMENT" totalsRowLabel="Total" dataDxfId="875" totalsRowDxfId="874"/>
    <tableColumn id="2" name="Projected Cost" totalsRowFunction="sum" dataDxfId="873" totalsRowDxfId="872"/>
    <tableColumn id="3" name="Actual Cost" totalsRowFunction="sum" dataDxfId="871" totalsRowDxfId="870"/>
    <tableColumn id="4" name="Difference" totalsRowFunction="sum" dataDxfId="869" totalsRowDxfId="868">
      <calculatedColumnFormula>Table2253749[Projected Cost]-Table2253749[Actual Cost]</calculatedColumnFormula>
    </tableColumn>
  </tableColumns>
  <tableStyleInfo name="TableStyleMedium23" showFirstColumn="0" showLastColumn="0" showRowStripes="1" showColumnStripes="0"/>
</table>
</file>

<file path=xl/tables/table37.xml><?xml version="1.0" encoding="utf-8"?>
<table xmlns="http://schemas.openxmlformats.org/spreadsheetml/2006/main" id="25" name="Table11426" displayName="Table11426" ref="B13:E18" totalsRowCount="1" headerRowDxfId="867" dataDxfId="866" totalsRowDxfId="864" tableBorderDxfId="865">
  <autoFilter ref="B13:E17"/>
  <tableColumns count="4">
    <tableColumn id="1" name="HOME" totalsRowLabel="Total" dataDxfId="863" totalsRowDxfId="862"/>
    <tableColumn id="2" name="Projected Cost" totalsRowFunction="sum" dataDxfId="861" totalsRowDxfId="860"/>
    <tableColumn id="3" name="Actual Cost" totalsRowFunction="sum" dataDxfId="859" totalsRowDxfId="858"/>
    <tableColumn id="4" name="Difference" totalsRowFunction="sum" dataDxfId="857" totalsRowDxfId="856">
      <calculatedColumnFormula>Table11426[Projected Cost]-Table11426[Actual Cost]</calculatedColumnFormula>
    </tableColumn>
  </tableColumns>
  <tableStyleInfo name="TableStyleMedium23" showFirstColumn="0" showLastColumn="0" showRowStripes="1" showColumnStripes="0"/>
</table>
</file>

<file path=xl/tables/table38.xml><?xml version="1.0" encoding="utf-8"?>
<table xmlns="http://schemas.openxmlformats.org/spreadsheetml/2006/main" id="26" name="Table41527" displayName="Table41527" ref="B29:E34" totalsRowCount="1" headerRowDxfId="855" dataDxfId="854" totalsRowDxfId="852" tableBorderDxfId="853">
  <autoFilter ref="B29:E33"/>
  <tableColumns count="4">
    <tableColumn id="1" name="UTILITIES" totalsRowLabel="Total" dataDxfId="851" totalsRowDxfId="850"/>
    <tableColumn id="2" name="Projected Cost" totalsRowFunction="sum" dataDxfId="849" totalsRowDxfId="848"/>
    <tableColumn id="3" name="Actual Cost" totalsRowFunction="sum" dataDxfId="847" totalsRowDxfId="846"/>
    <tableColumn id="4" name="Difference" totalsRowFunction="sum" dataDxfId="845" totalsRowDxfId="844">
      <calculatedColumnFormula>Table41527[Projected Cost]-Table41527[Actual Cost]</calculatedColumnFormula>
    </tableColumn>
  </tableColumns>
  <tableStyleInfo name="TableStyleMedium23" showFirstColumn="0" showLastColumn="0" showRowStripes="1" showColumnStripes="0"/>
</table>
</file>

<file path=xl/tables/table39.xml><?xml version="1.0" encoding="utf-8"?>
<table xmlns="http://schemas.openxmlformats.org/spreadsheetml/2006/main" id="27" name="Table121628" displayName="Table121628" ref="G52:J57" totalsRowCount="1" headerRowDxfId="843" dataDxfId="842" totalsRowDxfId="840" tableBorderDxfId="841">
  <autoFilter ref="G52:J56"/>
  <tableColumns count="4">
    <tableColumn id="1" name="MISC" totalsRowLabel="Total" dataDxfId="839" totalsRowDxfId="838"/>
    <tableColumn id="2" name="Projected Cost" totalsRowFunction="sum" dataDxfId="837" totalsRowDxfId="836"/>
    <tableColumn id="3" name="Actual Cost" totalsRowFunction="sum" dataDxfId="835" totalsRowDxfId="834"/>
    <tableColumn id="4" name="Difference" totalsRowFunction="sum" dataDxfId="833" totalsRowDxfId="832">
      <calculatedColumnFormula>Table121628[Projected Cost]-Table121628[Actual Cost]</calculatedColumnFormula>
    </tableColumn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B41:E47" totalsRowCount="1" headerRowDxfId="1263" dataDxfId="1262" totalsRowDxfId="1260" tableBorderDxfId="1261">
  <autoFilter ref="B41:E46"/>
  <tableColumns count="4">
    <tableColumn id="1" name="CONNECTIONS" totalsRowLabel="Total" dataDxfId="1259" totalsRowDxfId="1258"/>
    <tableColumn id="2" name="Projected Cost" totalsRowFunction="sum" dataDxfId="1257" totalsRowDxfId="1256"/>
    <tableColumn id="3" name="Actual Cost" totalsRowFunction="sum" dataDxfId="1255" totalsRowDxfId="1254"/>
    <tableColumn id="4" name="Difference" totalsRowFunction="sum" dataDxfId="1253" totalsRowDxfId="1252">
      <calculatedColumnFormula>Table6[Projected Cost]-Table6[Actual Cost]</calculatedColumnFormula>
    </tableColumn>
  </tableColumns>
  <tableStyleInfo name="TableStyleMedium23" showFirstColumn="0" showLastColumn="0" showRowStripes="1" showColumnStripes="0"/>
</table>
</file>

<file path=xl/tables/table40.xml><?xml version="1.0" encoding="utf-8"?>
<table xmlns="http://schemas.openxmlformats.org/spreadsheetml/2006/main" id="28" name="Table61729" displayName="Table61729" ref="B41:E47" totalsRowCount="1" headerRowDxfId="831" dataDxfId="830" totalsRowDxfId="828" tableBorderDxfId="829">
  <autoFilter ref="B41:E46"/>
  <tableColumns count="4">
    <tableColumn id="1" name="CONNECTIONS" totalsRowLabel="Total" dataDxfId="827" totalsRowDxfId="826"/>
    <tableColumn id="2" name="Projected Cost" totalsRowFunction="sum" dataDxfId="825" totalsRowDxfId="824"/>
    <tableColumn id="3" name="Actual Cost" totalsRowFunction="sum" dataDxfId="823" totalsRowDxfId="822"/>
    <tableColumn id="4" name="Difference" totalsRowFunction="sum" dataDxfId="821" totalsRowDxfId="820">
      <calculatedColumnFormula>Table61729[Projected Cost]-Table61729[Actual Cost]</calculatedColumnFormula>
    </tableColumn>
  </tableColumns>
  <tableStyleInfo name="TableStyleMedium23" showFirstColumn="0" showLastColumn="0" showRowStripes="1" showColumnStripes="0"/>
</table>
</file>

<file path=xl/tables/table41.xml><?xml version="1.0" encoding="utf-8"?>
<table xmlns="http://schemas.openxmlformats.org/spreadsheetml/2006/main" id="29" name="Table111830" displayName="Table111830" ref="G46:J50" totalsRowCount="1" headerRowDxfId="819" dataDxfId="818" totalsRowDxfId="816" tableBorderDxfId="817">
  <autoFilter ref="G46:J49"/>
  <tableColumns count="4">
    <tableColumn id="1" name="MEDICAL" totalsRowLabel="Total" dataDxfId="815" totalsRowDxfId="814"/>
    <tableColumn id="2" name="Projected Cost" totalsRowFunction="sum" dataDxfId="813" totalsRowDxfId="812"/>
    <tableColumn id="3" name="Actual Cost" totalsRowFunction="sum" dataDxfId="811" totalsRowDxfId="810"/>
    <tableColumn id="4" name="Difference" totalsRowFunction="sum" dataDxfId="809" totalsRowDxfId="808">
      <calculatedColumnFormula>Table111830[Projected Cost]-Table111830[Actual Cost]</calculatedColumnFormula>
    </tableColumn>
  </tableColumns>
  <tableStyleInfo name="TableStyleMedium23" showFirstColumn="0" showLastColumn="0" showRowStripes="1" showColumnStripes="0"/>
</table>
</file>

<file path=xl/tables/table42.xml><?xml version="1.0" encoding="utf-8"?>
<table xmlns="http://schemas.openxmlformats.org/spreadsheetml/2006/main" id="30" name="Table51931" displayName="Table51931" ref="B36:E39" totalsRowCount="1" headerRowDxfId="807" dataDxfId="806" totalsRowDxfId="804" tableBorderDxfId="805">
  <autoFilter ref="B36:E38"/>
  <tableColumns count="4">
    <tableColumn id="1" name="FOOD" totalsRowLabel="Total" dataDxfId="803" totalsRowDxfId="802"/>
    <tableColumn id="2" name="Projected Cost" totalsRowFunction="sum" dataDxfId="801" totalsRowDxfId="800"/>
    <tableColumn id="3" name="Actual Cost" totalsRowFunction="sum" dataDxfId="799" totalsRowDxfId="798"/>
    <tableColumn id="4" name="Difference" totalsRowFunction="sum" dataDxfId="797" totalsRowDxfId="796">
      <calculatedColumnFormula>Table51931[Projected Cost]-Table51931[Actual Cost]</calculatedColumnFormula>
    </tableColumn>
  </tableColumns>
  <tableStyleInfo name="TableStyleMedium23" showFirstColumn="0" showLastColumn="0" showRowStripes="1" showColumnStripes="0"/>
</table>
</file>

<file path=xl/tables/table43.xml><?xml version="1.0" encoding="utf-8"?>
<table xmlns="http://schemas.openxmlformats.org/spreadsheetml/2006/main" id="31" name="Table92032" displayName="Table92032" ref="G33:J38" totalsRowCount="1" headerRowDxfId="795" dataDxfId="794" totalsRowDxfId="792" tableBorderDxfId="793">
  <autoFilter ref="G33:J37"/>
  <tableColumns count="4">
    <tableColumn id="1" name="TAXES" totalsRowLabel="Total" dataDxfId="791" totalsRowDxfId="790"/>
    <tableColumn id="2" name="Projected Cost" totalsRowFunction="sum" dataDxfId="789" totalsRowDxfId="788"/>
    <tableColumn id="3" name="Actual Cost" totalsRowFunction="sum" dataDxfId="787" totalsRowDxfId="786"/>
    <tableColumn id="4" name="Difference" totalsRowFunction="sum" dataDxfId="785" totalsRowDxfId="784">
      <calculatedColumnFormula>Table92032[Projected Cost]-Table92032[Actual Cost]</calculatedColumnFormula>
    </tableColumn>
  </tableColumns>
  <tableStyleInfo name="TableStyleMedium23" showFirstColumn="0" showLastColumn="0" showRowStripes="1" showColumnStripes="0"/>
</table>
</file>

<file path=xl/tables/table44.xml><?xml version="1.0" encoding="utf-8"?>
<table xmlns="http://schemas.openxmlformats.org/spreadsheetml/2006/main" id="32" name="Table32133" displayName="Table32133" ref="B20:E27" totalsRowCount="1" headerRowDxfId="783" dataDxfId="782" totalsRowDxfId="780" tableBorderDxfId="781">
  <autoFilter ref="B20:E26"/>
  <tableColumns count="4">
    <tableColumn id="1" name="TRANSPORTATION" totalsRowLabel="Total" dataDxfId="779" totalsRowDxfId="778"/>
    <tableColumn id="2" name="Projected Cost" totalsRowFunction="sum" dataDxfId="777" totalsRowDxfId="776"/>
    <tableColumn id="3" name="Actual Cost" totalsRowFunction="sum" dataDxfId="775" totalsRowDxfId="774"/>
    <tableColumn id="4" name="Difference" totalsRowFunction="sum" dataDxfId="773" totalsRowDxfId="772">
      <calculatedColumnFormula>Table32133[Projected Cost]-Table32133[Actual Cost]</calculatedColumnFormula>
    </tableColumn>
  </tableColumns>
  <tableStyleInfo name="TableStyleMedium23" showFirstColumn="0" showLastColumn="0" showRowStripes="1" showColumnStripes="0"/>
</table>
</file>

<file path=xl/tables/table45.xml><?xml version="1.0" encoding="utf-8"?>
<table xmlns="http://schemas.openxmlformats.org/spreadsheetml/2006/main" id="33" name="Table82234" displayName="Table82234" ref="G24:J31" totalsRowCount="1" headerRowDxfId="771" dataDxfId="770" totalsRowDxfId="768" tableBorderDxfId="769">
  <autoFilter ref="G24:J30"/>
  <tableColumns count="4">
    <tableColumn id="1" name="LOANS" totalsRowLabel="Total" dataDxfId="767" totalsRowDxfId="766"/>
    <tableColumn id="2" name="Projected Cost" totalsRowFunction="sum" dataDxfId="765" totalsRowDxfId="764"/>
    <tableColumn id="3" name="Actual Cost" totalsRowFunction="sum" dataDxfId="763" totalsRowDxfId="762"/>
    <tableColumn id="4" name="Difference" totalsRowFunction="sum" dataDxfId="761" totalsRowDxfId="760">
      <calculatedColumnFormula>Table82234[Projected Cost]-Table82234[Actual Cost]</calculatedColumnFormula>
    </tableColumn>
  </tableColumns>
  <tableStyleInfo name="TableStyleMedium23" showFirstColumn="0" showLastColumn="0" showRowStripes="1" showColumnStripes="0"/>
</table>
</file>

<file path=xl/tables/table46.xml><?xml version="1.0" encoding="utf-8"?>
<table xmlns="http://schemas.openxmlformats.org/spreadsheetml/2006/main" id="34" name="Table102335" displayName="Table102335" ref="G40:J44" totalsRowCount="1" headerRowDxfId="759" dataDxfId="758" totalsRowDxfId="756" tableBorderDxfId="757">
  <autoFilter ref="G40:J43"/>
  <tableColumns count="4">
    <tableColumn id="1" name="SAVINGS OR INVESTMENTS" totalsRowLabel="Total" dataDxfId="755" totalsRowDxfId="754"/>
    <tableColumn id="2" name="Projected Cost" totalsRowFunction="sum" dataDxfId="753" totalsRowDxfId="752"/>
    <tableColumn id="3" name="Actual Cost" totalsRowFunction="sum" dataDxfId="751" totalsRowDxfId="750"/>
    <tableColumn id="4" name="Difference" totalsRowFunction="sum" dataDxfId="749" totalsRowDxfId="748">
      <calculatedColumnFormula>Table102335[Projected Cost]-Table102335[Actual Cost]</calculatedColumnFormula>
    </tableColumn>
  </tableColumns>
  <tableStyleInfo name="TableStyleMedium23" showFirstColumn="0" showLastColumn="0" showRowStripes="1" showColumnStripes="0"/>
</table>
</file>

<file path=xl/tables/table47.xml><?xml version="1.0" encoding="utf-8"?>
<table xmlns="http://schemas.openxmlformats.org/spreadsheetml/2006/main" id="35" name="Table72436" displayName="Table72436" ref="B49:E57" totalsRowCount="1" headerRowDxfId="747" dataDxfId="746" totalsRowDxfId="744" tableBorderDxfId="745">
  <autoFilter ref="B49:E56"/>
  <tableColumns count="4">
    <tableColumn id="1" name="PERSONAL CARE" totalsRowLabel="Total" dataDxfId="743" totalsRowDxfId="742"/>
    <tableColumn id="2" name="Projected Cost" totalsRowFunction="sum" dataDxfId="741" totalsRowDxfId="740"/>
    <tableColumn id="3" name="Actual Cost" totalsRowFunction="sum" dataDxfId="739" totalsRowDxfId="738"/>
    <tableColumn id="4" name="Difference" totalsRowFunction="sum" dataDxfId="737" totalsRowDxfId="736">
      <calculatedColumnFormula>Table72436[Projected Cost]-Table72436[Actual Cost]</calculatedColumnFormula>
    </tableColumn>
  </tableColumns>
  <tableStyleInfo name="TableStyleMedium23" showFirstColumn="0" showLastColumn="0" showRowStripes="1" showColumnStripes="0"/>
</table>
</file>

<file path=xl/tables/table48.xml><?xml version="1.0" encoding="utf-8"?>
<table xmlns="http://schemas.openxmlformats.org/spreadsheetml/2006/main" id="36" name="Table22537" displayName="Table22537" ref="G12:J22" totalsRowCount="1" headerRowDxfId="735" dataDxfId="734" totalsRowDxfId="732" tableBorderDxfId="733">
  <autoFilter ref="G12:J21"/>
  <tableColumns count="4">
    <tableColumn id="1" name="ENTERTAINMENT" totalsRowLabel="Total" dataDxfId="731" totalsRowDxfId="730"/>
    <tableColumn id="2" name="Projected Cost" totalsRowFunction="sum" dataDxfId="729" totalsRowDxfId="728"/>
    <tableColumn id="3" name="Actual Cost" totalsRowFunction="sum" dataDxfId="727" totalsRowDxfId="726"/>
    <tableColumn id="4" name="Difference" totalsRowFunction="sum" dataDxfId="725" totalsRowDxfId="724">
      <calculatedColumnFormula>Table22537[Projected Cost]-Table22537[Actual Cost]</calculatedColumnFormula>
    </tableColumn>
  </tableColumns>
  <tableStyleInfo name="TableStyleMedium23" showFirstColumn="0" showLastColumn="0" showRowStripes="1" showColumnStripes="0"/>
</table>
</file>

<file path=xl/tables/table49.xml><?xml version="1.0" encoding="utf-8"?>
<table xmlns="http://schemas.openxmlformats.org/spreadsheetml/2006/main" id="13" name="Table114" displayName="Table114" ref="B13:E18" totalsRowCount="1" headerRowDxfId="723" dataDxfId="722" totalsRowDxfId="720" tableBorderDxfId="721">
  <autoFilter ref="B13:E17"/>
  <tableColumns count="4">
    <tableColumn id="1" name="HOME" totalsRowLabel="Total" dataDxfId="719" totalsRowDxfId="718"/>
    <tableColumn id="2" name="Projected Cost" totalsRowFunction="sum" dataDxfId="717" totalsRowDxfId="716"/>
    <tableColumn id="3" name="Actual Cost" totalsRowFunction="sum" dataDxfId="715" totalsRowDxfId="714"/>
    <tableColumn id="4" name="Difference" totalsRowFunction="sum" dataDxfId="713" totalsRowDxfId="712">
      <calculatedColumnFormula>Table114[Projected Cost]-Table114[Actual Cost]</calculatedColumnFormula>
    </tableColumn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11" name="Table11" displayName="Table11" ref="G46:J50" totalsRowCount="1" headerRowDxfId="1251" dataDxfId="1250" totalsRowDxfId="1248" tableBorderDxfId="1249">
  <autoFilter ref="G46:J49"/>
  <tableColumns count="4">
    <tableColumn id="1" name="MEDICAL" totalsRowLabel="Total" dataDxfId="1247" totalsRowDxfId="1246"/>
    <tableColumn id="2" name="Projected Cost" totalsRowFunction="sum" dataDxfId="1245" totalsRowDxfId="1244"/>
    <tableColumn id="3" name="Actual Cost" totalsRowFunction="sum" dataDxfId="1243" totalsRowDxfId="1242"/>
    <tableColumn id="4" name="Difference" totalsRowFunction="sum" dataDxfId="1241" totalsRowDxfId="1240">
      <calculatedColumnFormula>Table11[Projected Cost]-Table11[Actual Cost]</calculatedColumnFormula>
    </tableColumn>
  </tableColumns>
  <tableStyleInfo name="TableStyleMedium23" showFirstColumn="0" showLastColumn="0" showRowStripes="1" showColumnStripes="0"/>
</table>
</file>

<file path=xl/tables/table50.xml><?xml version="1.0" encoding="utf-8"?>
<table xmlns="http://schemas.openxmlformats.org/spreadsheetml/2006/main" id="14" name="Table415" displayName="Table415" ref="B29:E34" totalsRowCount="1" headerRowDxfId="711" dataDxfId="710" totalsRowDxfId="708" tableBorderDxfId="709">
  <autoFilter ref="B29:E33"/>
  <tableColumns count="4">
    <tableColumn id="1" name="UTILITIES" totalsRowLabel="Total" dataDxfId="707" totalsRowDxfId="706"/>
    <tableColumn id="2" name="Projected Cost" totalsRowFunction="sum" dataDxfId="705" totalsRowDxfId="704"/>
    <tableColumn id="3" name="Actual Cost" totalsRowFunction="sum" dataDxfId="703" totalsRowDxfId="702"/>
    <tableColumn id="4" name="Difference" totalsRowFunction="sum" dataDxfId="701" totalsRowDxfId="700">
      <calculatedColumnFormula>Table415[Projected Cost]-Table415[Actual Cost]</calculatedColumnFormula>
    </tableColumn>
  </tableColumns>
  <tableStyleInfo name="TableStyleMedium23" showFirstColumn="0" showLastColumn="0" showRowStripes="1" showColumnStripes="0"/>
</table>
</file>

<file path=xl/tables/table51.xml><?xml version="1.0" encoding="utf-8"?>
<table xmlns="http://schemas.openxmlformats.org/spreadsheetml/2006/main" id="15" name="Table1216" displayName="Table1216" ref="G52:J57" totalsRowCount="1" headerRowDxfId="699" dataDxfId="698" totalsRowDxfId="696" tableBorderDxfId="697">
  <autoFilter ref="G52:J56"/>
  <tableColumns count="4">
    <tableColumn id="1" name="MISC" totalsRowLabel="Total" dataDxfId="695" totalsRowDxfId="694"/>
    <tableColumn id="2" name="Projected Cost" totalsRowFunction="sum" dataDxfId="693" totalsRowDxfId="692"/>
    <tableColumn id="3" name="Actual Cost" totalsRowFunction="sum" dataDxfId="691" totalsRowDxfId="690"/>
    <tableColumn id="4" name="Difference" totalsRowFunction="sum" dataDxfId="689" totalsRowDxfId="688">
      <calculatedColumnFormula>Table1216[Projected Cost]-Table1216[Actual Cost]</calculatedColumnFormula>
    </tableColumn>
  </tableColumns>
  <tableStyleInfo name="TableStyleMedium23" showFirstColumn="0" showLastColumn="0" showRowStripes="1" showColumnStripes="0"/>
</table>
</file>

<file path=xl/tables/table52.xml><?xml version="1.0" encoding="utf-8"?>
<table xmlns="http://schemas.openxmlformats.org/spreadsheetml/2006/main" id="16" name="Table617" displayName="Table617" ref="B41:E47" totalsRowCount="1" headerRowDxfId="687" dataDxfId="686" totalsRowDxfId="684" tableBorderDxfId="685">
  <autoFilter ref="B41:E46"/>
  <tableColumns count="4">
    <tableColumn id="1" name="CONNECTIONS" totalsRowLabel="Total" dataDxfId="683" totalsRowDxfId="682"/>
    <tableColumn id="2" name="Projected Cost" totalsRowFunction="sum" dataDxfId="681" totalsRowDxfId="680"/>
    <tableColumn id="3" name="Actual Cost" totalsRowFunction="sum" dataDxfId="679" totalsRowDxfId="678"/>
    <tableColumn id="4" name="Difference" totalsRowFunction="sum" dataDxfId="677" totalsRowDxfId="676">
      <calculatedColumnFormula>Table617[Projected Cost]-Table617[Actual Cost]</calculatedColumnFormula>
    </tableColumn>
  </tableColumns>
  <tableStyleInfo name="TableStyleMedium23" showFirstColumn="0" showLastColumn="0" showRowStripes="1" showColumnStripes="0"/>
</table>
</file>

<file path=xl/tables/table53.xml><?xml version="1.0" encoding="utf-8"?>
<table xmlns="http://schemas.openxmlformats.org/spreadsheetml/2006/main" id="17" name="Table1118" displayName="Table1118" ref="G46:J50" totalsRowCount="1" headerRowDxfId="675" dataDxfId="674" totalsRowDxfId="672" tableBorderDxfId="673">
  <autoFilter ref="G46:J49"/>
  <tableColumns count="4">
    <tableColumn id="1" name="MEDICAL" totalsRowLabel="Total" dataDxfId="671" totalsRowDxfId="670"/>
    <tableColumn id="2" name="Projected Cost" totalsRowFunction="sum" dataDxfId="669" totalsRowDxfId="668"/>
    <tableColumn id="3" name="Actual Cost" totalsRowFunction="sum" dataDxfId="667" totalsRowDxfId="666"/>
    <tableColumn id="4" name="Difference" totalsRowFunction="sum" dataDxfId="665" totalsRowDxfId="664">
      <calculatedColumnFormula>Table1118[Projected Cost]-Table1118[Actual Cost]</calculatedColumnFormula>
    </tableColumn>
  </tableColumns>
  <tableStyleInfo name="TableStyleMedium23" showFirstColumn="0" showLastColumn="0" showRowStripes="1" showColumnStripes="0"/>
</table>
</file>

<file path=xl/tables/table54.xml><?xml version="1.0" encoding="utf-8"?>
<table xmlns="http://schemas.openxmlformats.org/spreadsheetml/2006/main" id="18" name="Table519" displayName="Table519" ref="B36:E39" totalsRowCount="1" headerRowDxfId="663" dataDxfId="662" totalsRowDxfId="660" tableBorderDxfId="661">
  <autoFilter ref="B36:E38"/>
  <tableColumns count="4">
    <tableColumn id="1" name="FOOD" totalsRowLabel="Total" dataDxfId="659" totalsRowDxfId="658"/>
    <tableColumn id="2" name="Projected Cost" totalsRowFunction="sum" dataDxfId="657" totalsRowDxfId="656"/>
    <tableColumn id="3" name="Actual Cost" totalsRowFunction="sum" dataDxfId="655" totalsRowDxfId="654"/>
    <tableColumn id="4" name="Difference" totalsRowFunction="sum" dataDxfId="653" totalsRowDxfId="652">
      <calculatedColumnFormula>Table519[Projected Cost]-Table519[Actual Cost]</calculatedColumnFormula>
    </tableColumn>
  </tableColumns>
  <tableStyleInfo name="TableStyleMedium23" showFirstColumn="0" showLastColumn="0" showRowStripes="1" showColumnStripes="0"/>
</table>
</file>

<file path=xl/tables/table55.xml><?xml version="1.0" encoding="utf-8"?>
<table xmlns="http://schemas.openxmlformats.org/spreadsheetml/2006/main" id="19" name="Table920" displayName="Table920" ref="G33:J38" totalsRowCount="1" headerRowDxfId="651" dataDxfId="650" totalsRowDxfId="648" tableBorderDxfId="649">
  <autoFilter ref="G33:J37"/>
  <tableColumns count="4">
    <tableColumn id="1" name="TAXES" totalsRowLabel="Total" dataDxfId="647" totalsRowDxfId="646"/>
    <tableColumn id="2" name="Projected Cost" totalsRowFunction="sum" dataDxfId="645" totalsRowDxfId="644"/>
    <tableColumn id="3" name="Actual Cost" totalsRowFunction="sum" dataDxfId="643" totalsRowDxfId="642"/>
    <tableColumn id="4" name="Difference" totalsRowFunction="sum" dataDxfId="641" totalsRowDxfId="640">
      <calculatedColumnFormula>Table920[Projected Cost]-Table920[Actual Cost]</calculatedColumnFormula>
    </tableColumn>
  </tableColumns>
  <tableStyleInfo name="TableStyleMedium23" showFirstColumn="0" showLastColumn="0" showRowStripes="1" showColumnStripes="0"/>
</table>
</file>

<file path=xl/tables/table56.xml><?xml version="1.0" encoding="utf-8"?>
<table xmlns="http://schemas.openxmlformats.org/spreadsheetml/2006/main" id="20" name="Table321" displayName="Table321" ref="B20:E27" totalsRowCount="1" headerRowDxfId="639" dataDxfId="638" totalsRowDxfId="636" tableBorderDxfId="637">
  <autoFilter ref="B20:E26"/>
  <tableColumns count="4">
    <tableColumn id="1" name="TRANSPORTATION" totalsRowLabel="Total" dataDxfId="635" totalsRowDxfId="634"/>
    <tableColumn id="2" name="Projected Cost" totalsRowFunction="sum" dataDxfId="633" totalsRowDxfId="632"/>
    <tableColumn id="3" name="Actual Cost" totalsRowFunction="sum" dataDxfId="631" totalsRowDxfId="630"/>
    <tableColumn id="4" name="Difference" totalsRowFunction="sum" dataDxfId="629" totalsRowDxfId="628">
      <calculatedColumnFormula>Table321[Projected Cost]-Table321[Actual Cost]</calculatedColumnFormula>
    </tableColumn>
  </tableColumns>
  <tableStyleInfo name="TableStyleMedium23" showFirstColumn="0" showLastColumn="0" showRowStripes="1" showColumnStripes="0"/>
</table>
</file>

<file path=xl/tables/table57.xml><?xml version="1.0" encoding="utf-8"?>
<table xmlns="http://schemas.openxmlformats.org/spreadsheetml/2006/main" id="21" name="Table822" displayName="Table822" ref="G24:J31" totalsRowCount="1" headerRowDxfId="627" dataDxfId="626" totalsRowDxfId="624" tableBorderDxfId="625">
  <autoFilter ref="G24:J30"/>
  <tableColumns count="4">
    <tableColumn id="1" name="LOANS" totalsRowLabel="Total" dataDxfId="623" totalsRowDxfId="622"/>
    <tableColumn id="2" name="Projected Cost" totalsRowFunction="sum" dataDxfId="621" totalsRowDxfId="620"/>
    <tableColumn id="3" name="Actual Cost" totalsRowFunction="sum" dataDxfId="619" totalsRowDxfId="618"/>
    <tableColumn id="4" name="Difference" totalsRowFunction="sum" dataDxfId="617" totalsRowDxfId="616">
      <calculatedColumnFormula>Table822[Projected Cost]-Table822[Actual Cost]</calculatedColumnFormula>
    </tableColumn>
  </tableColumns>
  <tableStyleInfo name="TableStyleMedium23" showFirstColumn="0" showLastColumn="0" showRowStripes="1" showColumnStripes="0"/>
</table>
</file>

<file path=xl/tables/table58.xml><?xml version="1.0" encoding="utf-8"?>
<table xmlns="http://schemas.openxmlformats.org/spreadsheetml/2006/main" id="22" name="Table1023" displayName="Table1023" ref="G40:J44" totalsRowCount="1" headerRowDxfId="615" dataDxfId="614" totalsRowDxfId="612" tableBorderDxfId="613">
  <autoFilter ref="G40:J43"/>
  <tableColumns count="4">
    <tableColumn id="1" name="SAVINGS OR INVESTMENTS" totalsRowLabel="Total" dataDxfId="611" totalsRowDxfId="610"/>
    <tableColumn id="2" name="Projected Cost" totalsRowFunction="sum" dataDxfId="609" totalsRowDxfId="608"/>
    <tableColumn id="3" name="Actual Cost" totalsRowFunction="sum" dataDxfId="607" totalsRowDxfId="606"/>
    <tableColumn id="4" name="Difference" totalsRowFunction="sum" dataDxfId="605" totalsRowDxfId="604">
      <calculatedColumnFormula>Table1023[Projected Cost]-Table1023[Actual Cost]</calculatedColumnFormula>
    </tableColumn>
  </tableColumns>
  <tableStyleInfo name="TableStyleMedium23" showFirstColumn="0" showLastColumn="0" showRowStripes="1" showColumnStripes="0"/>
</table>
</file>

<file path=xl/tables/table59.xml><?xml version="1.0" encoding="utf-8"?>
<table xmlns="http://schemas.openxmlformats.org/spreadsheetml/2006/main" id="23" name="Table724" displayName="Table724" ref="B49:E57" totalsRowCount="1" headerRowDxfId="603" dataDxfId="602" totalsRowDxfId="600" tableBorderDxfId="601">
  <autoFilter ref="B49:E56"/>
  <tableColumns count="4">
    <tableColumn id="1" name="PERSONAL CARE" totalsRowLabel="Total" dataDxfId="599" totalsRowDxfId="598"/>
    <tableColumn id="2" name="Projected Cost" totalsRowFunction="sum" dataDxfId="597" totalsRowDxfId="596"/>
    <tableColumn id="3" name="Actual Cost" totalsRowFunction="sum" dataDxfId="595" totalsRowDxfId="594"/>
    <tableColumn id="4" name="Difference" totalsRowFunction="sum" dataDxfId="593" totalsRowDxfId="592">
      <calculatedColumnFormula>Table724[Projected Cost]-Table724[Actual Cost]</calculatedColumnFormula>
    </tableColumn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5" name="Table5" displayName="Table5" ref="B36:E39" totalsRowCount="1" headerRowDxfId="1239" dataDxfId="1238" totalsRowDxfId="1236" tableBorderDxfId="1237">
  <autoFilter ref="B36:E38"/>
  <tableColumns count="4">
    <tableColumn id="1" name="FOOD" totalsRowLabel="Total" dataDxfId="1235" totalsRowDxfId="1234"/>
    <tableColumn id="2" name="Projected Cost" totalsRowFunction="sum" dataDxfId="1233" totalsRowDxfId="1232"/>
    <tableColumn id="3" name="Actual Cost" totalsRowFunction="sum" dataDxfId="1231" totalsRowDxfId="1230"/>
    <tableColumn id="4" name="Difference" totalsRowFunction="sum" dataDxfId="1229" totalsRowDxfId="1228">
      <calculatedColumnFormula>Table5[Projected Cost]-Table5[Actual Cost]</calculatedColumnFormula>
    </tableColumn>
  </tableColumns>
  <tableStyleInfo name="TableStyleMedium23" showFirstColumn="0" showLastColumn="0" showRowStripes="1" showColumnStripes="0"/>
</table>
</file>

<file path=xl/tables/table60.xml><?xml version="1.0" encoding="utf-8"?>
<table xmlns="http://schemas.openxmlformats.org/spreadsheetml/2006/main" id="24" name="Table225" displayName="Table225" ref="G12:J22" totalsRowCount="1" headerRowDxfId="591" dataDxfId="590" totalsRowDxfId="588" tableBorderDxfId="589">
  <autoFilter ref="G12:J21"/>
  <tableColumns count="4">
    <tableColumn id="1" name="ENTERTAINMENT" totalsRowLabel="Total" dataDxfId="587" totalsRowDxfId="586"/>
    <tableColumn id="2" name="Projected Cost" totalsRowFunction="sum" dataDxfId="585" totalsRowDxfId="584"/>
    <tableColumn id="3" name="Actual Cost" totalsRowFunction="sum" dataDxfId="583" totalsRowDxfId="582"/>
    <tableColumn id="4" name="Difference" totalsRowFunction="sum" dataDxfId="581" totalsRowDxfId="580">
      <calculatedColumnFormula>Table225[Projected Cost]-Table225[Actual Cost]</calculatedColumnFormula>
    </tableColumn>
  </tableColumns>
  <tableStyleInfo name="TableStyleMedium23" showFirstColumn="0" showLastColumn="0" showRowStripes="1" showColumnStripes="0"/>
</table>
</file>

<file path=xl/tables/table61.xml><?xml version="1.0" encoding="utf-8"?>
<table xmlns="http://schemas.openxmlformats.org/spreadsheetml/2006/main" id="61" name="Table11462" displayName="Table11462" ref="B13:E18" totalsRowCount="1" headerRowDxfId="579" dataDxfId="578" totalsRowDxfId="576" tableBorderDxfId="577">
  <autoFilter ref="B13:E17"/>
  <tableColumns count="4">
    <tableColumn id="1" name="HOME" totalsRowLabel="Total" dataDxfId="575" totalsRowDxfId="574"/>
    <tableColumn id="2" name="Projected Cost" totalsRowFunction="sum" dataDxfId="573" totalsRowDxfId="572"/>
    <tableColumn id="3" name="Actual Cost" totalsRowFunction="sum" dataDxfId="571" totalsRowDxfId="570"/>
    <tableColumn id="4" name="Difference" totalsRowFunction="sum" dataDxfId="569" totalsRowDxfId="568">
      <calculatedColumnFormula>Table11462[Projected Cost]-Table11462[Actual Cost]</calculatedColumnFormula>
    </tableColumn>
  </tableColumns>
  <tableStyleInfo name="TableStyleMedium23" showFirstColumn="0" showLastColumn="0" showRowStripes="1" showColumnStripes="0"/>
</table>
</file>

<file path=xl/tables/table62.xml><?xml version="1.0" encoding="utf-8"?>
<table xmlns="http://schemas.openxmlformats.org/spreadsheetml/2006/main" id="62" name="Table41563" displayName="Table41563" ref="B29:E34" totalsRowCount="1" headerRowDxfId="567" dataDxfId="566" totalsRowDxfId="564" tableBorderDxfId="565">
  <autoFilter ref="B29:E33"/>
  <tableColumns count="4">
    <tableColumn id="1" name="UTILITIES" totalsRowLabel="Total" dataDxfId="563" totalsRowDxfId="562"/>
    <tableColumn id="2" name="Projected Cost" totalsRowFunction="sum" dataDxfId="561" totalsRowDxfId="560"/>
    <tableColumn id="3" name="Actual Cost" totalsRowFunction="sum" dataDxfId="559" totalsRowDxfId="558"/>
    <tableColumn id="4" name="Difference" totalsRowFunction="sum" dataDxfId="557" totalsRowDxfId="556">
      <calculatedColumnFormula>Table41563[Projected Cost]-Table41563[Actual Cost]</calculatedColumnFormula>
    </tableColumn>
  </tableColumns>
  <tableStyleInfo name="TableStyleMedium23" showFirstColumn="0" showLastColumn="0" showRowStripes="1" showColumnStripes="0"/>
</table>
</file>

<file path=xl/tables/table63.xml><?xml version="1.0" encoding="utf-8"?>
<table xmlns="http://schemas.openxmlformats.org/spreadsheetml/2006/main" id="63" name="Table121664" displayName="Table121664" ref="G52:J57" totalsRowCount="1" headerRowDxfId="555" dataDxfId="554" totalsRowDxfId="552" tableBorderDxfId="553">
  <autoFilter ref="G52:J56"/>
  <tableColumns count="4">
    <tableColumn id="1" name="MISC" totalsRowLabel="Total" dataDxfId="551" totalsRowDxfId="550"/>
    <tableColumn id="2" name="Projected Cost" totalsRowFunction="sum" dataDxfId="549" totalsRowDxfId="548"/>
    <tableColumn id="3" name="Actual Cost" totalsRowFunction="sum" dataDxfId="547" totalsRowDxfId="546"/>
    <tableColumn id="4" name="Difference" totalsRowFunction="sum" dataDxfId="545" totalsRowDxfId="544">
      <calculatedColumnFormula>Table121664[Projected Cost]-Table121664[Actual Cost]</calculatedColumnFormula>
    </tableColumn>
  </tableColumns>
  <tableStyleInfo name="TableStyleMedium23" showFirstColumn="0" showLastColumn="0" showRowStripes="1" showColumnStripes="0"/>
</table>
</file>

<file path=xl/tables/table64.xml><?xml version="1.0" encoding="utf-8"?>
<table xmlns="http://schemas.openxmlformats.org/spreadsheetml/2006/main" id="64" name="Table61765" displayName="Table61765" ref="B41:E47" totalsRowCount="1" headerRowDxfId="543" dataDxfId="542" totalsRowDxfId="540" tableBorderDxfId="541">
  <autoFilter ref="B41:E46"/>
  <tableColumns count="4">
    <tableColumn id="1" name="CONNECTIONS" totalsRowLabel="Total" dataDxfId="539" totalsRowDxfId="538"/>
    <tableColumn id="2" name="Projected Cost" totalsRowFunction="sum" dataDxfId="537" totalsRowDxfId="536"/>
    <tableColumn id="3" name="Actual Cost" totalsRowFunction="sum" dataDxfId="535" totalsRowDxfId="534"/>
    <tableColumn id="4" name="Difference" totalsRowFunction="sum" dataDxfId="533" totalsRowDxfId="532">
      <calculatedColumnFormula>Table61765[Projected Cost]-Table61765[Actual Cost]</calculatedColumnFormula>
    </tableColumn>
  </tableColumns>
  <tableStyleInfo name="TableStyleMedium23" showFirstColumn="0" showLastColumn="0" showRowStripes="1" showColumnStripes="0"/>
</table>
</file>

<file path=xl/tables/table65.xml><?xml version="1.0" encoding="utf-8"?>
<table xmlns="http://schemas.openxmlformats.org/spreadsheetml/2006/main" id="65" name="Table111866" displayName="Table111866" ref="G46:J50" totalsRowCount="1" headerRowDxfId="531" dataDxfId="530" totalsRowDxfId="528" tableBorderDxfId="529">
  <autoFilter ref="G46:J49"/>
  <tableColumns count="4">
    <tableColumn id="1" name="MEDICAL" totalsRowLabel="Total" dataDxfId="527" totalsRowDxfId="526"/>
    <tableColumn id="2" name="Projected Cost" totalsRowFunction="sum" dataDxfId="525" totalsRowDxfId="524"/>
    <tableColumn id="3" name="Actual Cost" totalsRowFunction="sum" dataDxfId="523" totalsRowDxfId="522"/>
    <tableColumn id="4" name="Difference" totalsRowFunction="sum" dataDxfId="521" totalsRowDxfId="520">
      <calculatedColumnFormula>Table111866[Projected Cost]-Table111866[Actual Cost]</calculatedColumnFormula>
    </tableColumn>
  </tableColumns>
  <tableStyleInfo name="TableStyleMedium23" showFirstColumn="0" showLastColumn="0" showRowStripes="1" showColumnStripes="0"/>
</table>
</file>

<file path=xl/tables/table66.xml><?xml version="1.0" encoding="utf-8"?>
<table xmlns="http://schemas.openxmlformats.org/spreadsheetml/2006/main" id="66" name="Table51967" displayName="Table51967" ref="B36:E39" totalsRowCount="1" headerRowDxfId="519" dataDxfId="518" totalsRowDxfId="516" tableBorderDxfId="517">
  <autoFilter ref="B36:E38"/>
  <tableColumns count="4">
    <tableColumn id="1" name="FOOD" totalsRowLabel="Total" dataDxfId="515" totalsRowDxfId="514"/>
    <tableColumn id="2" name="Projected Cost" totalsRowFunction="sum" dataDxfId="513" totalsRowDxfId="512"/>
    <tableColumn id="3" name="Actual Cost" totalsRowFunction="sum" dataDxfId="511" totalsRowDxfId="510"/>
    <tableColumn id="4" name="Difference" totalsRowFunction="sum" dataDxfId="509" totalsRowDxfId="508">
      <calculatedColumnFormula>Table51967[Projected Cost]-Table51967[Actual Cost]</calculatedColumnFormula>
    </tableColumn>
  </tableColumns>
  <tableStyleInfo name="TableStyleMedium23" showFirstColumn="0" showLastColumn="0" showRowStripes="1" showColumnStripes="0"/>
</table>
</file>

<file path=xl/tables/table67.xml><?xml version="1.0" encoding="utf-8"?>
<table xmlns="http://schemas.openxmlformats.org/spreadsheetml/2006/main" id="67" name="Table92068" displayName="Table92068" ref="G33:J38" totalsRowCount="1" headerRowDxfId="507" dataDxfId="506" totalsRowDxfId="504" tableBorderDxfId="505">
  <autoFilter ref="G33:J37"/>
  <tableColumns count="4">
    <tableColumn id="1" name="TAXES" totalsRowLabel="Total" dataDxfId="503" totalsRowDxfId="502"/>
    <tableColumn id="2" name="Projected Cost" totalsRowFunction="sum" dataDxfId="501" totalsRowDxfId="500"/>
    <tableColumn id="3" name="Actual Cost" totalsRowFunction="sum" dataDxfId="499" totalsRowDxfId="498"/>
    <tableColumn id="4" name="Difference" totalsRowFunction="sum" dataDxfId="497" totalsRowDxfId="496">
      <calculatedColumnFormula>Table92068[Projected Cost]-Table92068[Actual Cost]</calculatedColumnFormula>
    </tableColumn>
  </tableColumns>
  <tableStyleInfo name="TableStyleMedium23" showFirstColumn="0" showLastColumn="0" showRowStripes="1" showColumnStripes="0"/>
</table>
</file>

<file path=xl/tables/table68.xml><?xml version="1.0" encoding="utf-8"?>
<table xmlns="http://schemas.openxmlformats.org/spreadsheetml/2006/main" id="68" name="Table32169" displayName="Table32169" ref="B20:E27" totalsRowCount="1" headerRowDxfId="495" dataDxfId="494" totalsRowDxfId="492" tableBorderDxfId="493">
  <autoFilter ref="B20:E26"/>
  <tableColumns count="4">
    <tableColumn id="1" name="TRANSPORTATION" totalsRowLabel="Total" dataDxfId="491" totalsRowDxfId="490"/>
    <tableColumn id="2" name="Projected Cost" totalsRowFunction="sum" dataDxfId="489" totalsRowDxfId="488"/>
    <tableColumn id="3" name="Actual Cost" totalsRowFunction="sum" dataDxfId="487" totalsRowDxfId="486"/>
    <tableColumn id="4" name="Difference" totalsRowFunction="sum" dataDxfId="485" totalsRowDxfId="484">
      <calculatedColumnFormula>Table32169[Projected Cost]-Table32169[Actual Cost]</calculatedColumnFormula>
    </tableColumn>
  </tableColumns>
  <tableStyleInfo name="TableStyleMedium23" showFirstColumn="0" showLastColumn="0" showRowStripes="1" showColumnStripes="0"/>
</table>
</file>

<file path=xl/tables/table69.xml><?xml version="1.0" encoding="utf-8"?>
<table xmlns="http://schemas.openxmlformats.org/spreadsheetml/2006/main" id="69" name="Table82270" displayName="Table82270" ref="G24:J31" totalsRowCount="1" headerRowDxfId="483" dataDxfId="482" totalsRowDxfId="480" tableBorderDxfId="481">
  <autoFilter ref="G24:J30"/>
  <tableColumns count="4">
    <tableColumn id="1" name="LOANS" totalsRowLabel="Total" dataDxfId="479" totalsRowDxfId="478"/>
    <tableColumn id="2" name="Projected Cost" totalsRowFunction="sum" dataDxfId="477" totalsRowDxfId="476"/>
    <tableColumn id="3" name="Actual Cost" totalsRowFunction="sum" dataDxfId="475" totalsRowDxfId="474"/>
    <tableColumn id="4" name="Difference" totalsRowFunction="sum" dataDxfId="473" totalsRowDxfId="472">
      <calculatedColumnFormula>Table82270[Projected Cost]-Table82270[Actual Cost]</calculatedColumnFormula>
    </tableColumn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9" displayName="Table9" ref="G33:J38" totalsRowCount="1" headerRowDxfId="1227" dataDxfId="1226" totalsRowDxfId="1224" tableBorderDxfId="1225">
  <autoFilter ref="G33:J37"/>
  <tableColumns count="4">
    <tableColumn id="1" name="TAXES" totalsRowLabel="Total" dataDxfId="1223" totalsRowDxfId="1222"/>
    <tableColumn id="2" name="Projected Cost" totalsRowFunction="sum" dataDxfId="1221" totalsRowDxfId="1220"/>
    <tableColumn id="3" name="Actual Cost" totalsRowFunction="sum" dataDxfId="1219" totalsRowDxfId="1218"/>
    <tableColumn id="4" name="Difference" totalsRowFunction="sum" dataDxfId="1217" totalsRowDxfId="1216">
      <calculatedColumnFormula>Table9[Projected Cost]-Table9[Actual Cost]</calculatedColumnFormula>
    </tableColumn>
  </tableColumns>
  <tableStyleInfo name="TableStyleMedium23" showFirstColumn="0" showLastColumn="0" showRowStripes="1" showColumnStripes="0"/>
</table>
</file>

<file path=xl/tables/table70.xml><?xml version="1.0" encoding="utf-8"?>
<table xmlns="http://schemas.openxmlformats.org/spreadsheetml/2006/main" id="70" name="Table102371" displayName="Table102371" ref="G40:J44" totalsRowCount="1" headerRowDxfId="471" dataDxfId="470" totalsRowDxfId="468" tableBorderDxfId="469">
  <autoFilter ref="G40:J43"/>
  <tableColumns count="4">
    <tableColumn id="1" name="SAVINGS OR INVESTMENTS" totalsRowLabel="Total" dataDxfId="467" totalsRowDxfId="466"/>
    <tableColumn id="2" name="Projected Cost" totalsRowFunction="sum" dataDxfId="465" totalsRowDxfId="464"/>
    <tableColumn id="3" name="Actual Cost" totalsRowFunction="sum" dataDxfId="463" totalsRowDxfId="462"/>
    <tableColumn id="4" name="Difference" totalsRowFunction="sum" dataDxfId="461" totalsRowDxfId="460">
      <calculatedColumnFormula>Table102371[Projected Cost]-Table102371[Actual Cost]</calculatedColumnFormula>
    </tableColumn>
  </tableColumns>
  <tableStyleInfo name="TableStyleMedium23" showFirstColumn="0" showLastColumn="0" showRowStripes="1" showColumnStripes="0"/>
</table>
</file>

<file path=xl/tables/table71.xml><?xml version="1.0" encoding="utf-8"?>
<table xmlns="http://schemas.openxmlformats.org/spreadsheetml/2006/main" id="71" name="Table72472" displayName="Table72472" ref="B49:E57" totalsRowCount="1" headerRowDxfId="459" dataDxfId="458" totalsRowDxfId="456" tableBorderDxfId="457">
  <autoFilter ref="B49:E56"/>
  <tableColumns count="4">
    <tableColumn id="1" name="PERSONAL CARE" totalsRowLabel="Total" dataDxfId="455" totalsRowDxfId="454"/>
    <tableColumn id="2" name="Projected Cost" totalsRowFunction="sum" dataDxfId="453" totalsRowDxfId="452"/>
    <tableColumn id="3" name="Actual Cost" totalsRowFunction="sum" dataDxfId="451" totalsRowDxfId="450"/>
    <tableColumn id="4" name="Difference" totalsRowFunction="sum" dataDxfId="449" totalsRowDxfId="448">
      <calculatedColumnFormula>Table72472[Projected Cost]-Table72472[Actual Cost]</calculatedColumnFormula>
    </tableColumn>
  </tableColumns>
  <tableStyleInfo name="TableStyleMedium23" showFirstColumn="0" showLastColumn="0" showRowStripes="1" showColumnStripes="0"/>
</table>
</file>

<file path=xl/tables/table72.xml><?xml version="1.0" encoding="utf-8"?>
<table xmlns="http://schemas.openxmlformats.org/spreadsheetml/2006/main" id="72" name="Table22573" displayName="Table22573" ref="G12:J22" totalsRowCount="1" headerRowDxfId="447" dataDxfId="446" totalsRowDxfId="444" tableBorderDxfId="445">
  <autoFilter ref="G12:J21"/>
  <tableColumns count="4">
    <tableColumn id="1" name="ENTERTAINMENT" totalsRowLabel="Total" dataDxfId="443" totalsRowDxfId="442"/>
    <tableColumn id="2" name="Projected Cost" totalsRowFunction="sum" dataDxfId="441" totalsRowDxfId="440"/>
    <tableColumn id="3" name="Actual Cost" totalsRowFunction="sum" dataDxfId="439" totalsRowDxfId="438"/>
    <tableColumn id="4" name="Difference" totalsRowFunction="sum" dataDxfId="437" totalsRowDxfId="436">
      <calculatedColumnFormula>Table22573[Projected Cost]-Table22573[Actual Cost]</calculatedColumnFormula>
    </tableColumn>
  </tableColumns>
  <tableStyleInfo name="TableStyleMedium23" showFirstColumn="0" showLastColumn="0" showRowStripes="1" showColumnStripes="0"/>
</table>
</file>

<file path=xl/tables/table73.xml><?xml version="1.0" encoding="utf-8"?>
<table xmlns="http://schemas.openxmlformats.org/spreadsheetml/2006/main" id="73" name="Table1146274" displayName="Table1146274" ref="B13:E18" totalsRowCount="1" headerRowDxfId="435" dataDxfId="434" totalsRowDxfId="432" tableBorderDxfId="433">
  <autoFilter ref="B13:E17"/>
  <tableColumns count="4">
    <tableColumn id="1" name="HOME" totalsRowLabel="Total" dataDxfId="431" totalsRowDxfId="430"/>
    <tableColumn id="2" name="Projected Cost" totalsRowFunction="sum" dataDxfId="429" totalsRowDxfId="428"/>
    <tableColumn id="3" name="Actual Cost" totalsRowFunction="sum" dataDxfId="427" totalsRowDxfId="426"/>
    <tableColumn id="4" name="Difference" totalsRowFunction="sum" dataDxfId="425" totalsRowDxfId="424">
      <calculatedColumnFormula>Table1146274[Projected Cost]-Table1146274[Actual Cost]</calculatedColumnFormula>
    </tableColumn>
  </tableColumns>
  <tableStyleInfo name="TableStyleMedium23" showFirstColumn="0" showLastColumn="0" showRowStripes="1" showColumnStripes="0"/>
</table>
</file>

<file path=xl/tables/table74.xml><?xml version="1.0" encoding="utf-8"?>
<table xmlns="http://schemas.openxmlformats.org/spreadsheetml/2006/main" id="74" name="Table4156375" displayName="Table4156375" ref="B29:E34" totalsRowCount="1" headerRowDxfId="423" dataDxfId="422" totalsRowDxfId="420" tableBorderDxfId="421">
  <autoFilter ref="B29:E33"/>
  <tableColumns count="4">
    <tableColumn id="1" name="UTILITIES" totalsRowLabel="Total" dataDxfId="419" totalsRowDxfId="418"/>
    <tableColumn id="2" name="Projected Cost" totalsRowFunction="sum" dataDxfId="417" totalsRowDxfId="416"/>
    <tableColumn id="3" name="Actual Cost" totalsRowFunction="sum" dataDxfId="415" totalsRowDxfId="414"/>
    <tableColumn id="4" name="Difference" totalsRowFunction="sum" dataDxfId="413" totalsRowDxfId="412">
      <calculatedColumnFormula>Table4156375[Projected Cost]-Table4156375[Actual Cost]</calculatedColumnFormula>
    </tableColumn>
  </tableColumns>
  <tableStyleInfo name="TableStyleMedium23" showFirstColumn="0" showLastColumn="0" showRowStripes="1" showColumnStripes="0"/>
</table>
</file>

<file path=xl/tables/table75.xml><?xml version="1.0" encoding="utf-8"?>
<table xmlns="http://schemas.openxmlformats.org/spreadsheetml/2006/main" id="75" name="Table12166476" displayName="Table12166476" ref="G52:J57" totalsRowCount="1" headerRowDxfId="411" dataDxfId="410" totalsRowDxfId="408" tableBorderDxfId="409">
  <autoFilter ref="G52:J56"/>
  <tableColumns count="4">
    <tableColumn id="1" name="MISC" totalsRowLabel="Total" dataDxfId="407" totalsRowDxfId="406"/>
    <tableColumn id="2" name="Projected Cost" totalsRowFunction="sum" dataDxfId="405" totalsRowDxfId="404"/>
    <tableColumn id="3" name="Actual Cost" totalsRowFunction="sum" dataDxfId="403" totalsRowDxfId="402"/>
    <tableColumn id="4" name="Difference" totalsRowFunction="sum" dataDxfId="401" totalsRowDxfId="400">
      <calculatedColumnFormula>Table12166476[Projected Cost]-Table12166476[Actual Cost]</calculatedColumnFormula>
    </tableColumn>
  </tableColumns>
  <tableStyleInfo name="TableStyleMedium23" showFirstColumn="0" showLastColumn="0" showRowStripes="1" showColumnStripes="0"/>
</table>
</file>

<file path=xl/tables/table76.xml><?xml version="1.0" encoding="utf-8"?>
<table xmlns="http://schemas.openxmlformats.org/spreadsheetml/2006/main" id="76" name="Table6176577" displayName="Table6176577" ref="B41:E47" totalsRowCount="1" headerRowDxfId="399" dataDxfId="398" totalsRowDxfId="396" tableBorderDxfId="397">
  <autoFilter ref="B41:E46"/>
  <tableColumns count="4">
    <tableColumn id="1" name="CONNECTIONS" totalsRowLabel="Total" dataDxfId="395" totalsRowDxfId="394"/>
    <tableColumn id="2" name="Projected Cost" totalsRowFunction="sum" dataDxfId="393" totalsRowDxfId="392"/>
    <tableColumn id="3" name="Actual Cost" totalsRowFunction="sum" dataDxfId="391" totalsRowDxfId="390"/>
    <tableColumn id="4" name="Difference" totalsRowFunction="sum" dataDxfId="389" totalsRowDxfId="388">
      <calculatedColumnFormula>Table6176577[Projected Cost]-Table6176577[Actual Cost]</calculatedColumnFormula>
    </tableColumn>
  </tableColumns>
  <tableStyleInfo name="TableStyleMedium23" showFirstColumn="0" showLastColumn="0" showRowStripes="1" showColumnStripes="0"/>
</table>
</file>

<file path=xl/tables/table77.xml><?xml version="1.0" encoding="utf-8"?>
<table xmlns="http://schemas.openxmlformats.org/spreadsheetml/2006/main" id="77" name="Table11186678" displayName="Table11186678" ref="G46:J50" totalsRowCount="1" headerRowDxfId="387" dataDxfId="386" totalsRowDxfId="384" tableBorderDxfId="385">
  <autoFilter ref="G46:J49"/>
  <tableColumns count="4">
    <tableColumn id="1" name="MEDICAL" totalsRowLabel="Total" dataDxfId="383" totalsRowDxfId="382"/>
    <tableColumn id="2" name="Projected Cost" totalsRowFunction="sum" dataDxfId="381" totalsRowDxfId="380"/>
    <tableColumn id="3" name="Actual Cost" totalsRowFunction="sum" dataDxfId="379" totalsRowDxfId="378"/>
    <tableColumn id="4" name="Difference" totalsRowFunction="sum" dataDxfId="377" totalsRowDxfId="376">
      <calculatedColumnFormula>Table11186678[Projected Cost]-Table11186678[Actual Cost]</calculatedColumnFormula>
    </tableColumn>
  </tableColumns>
  <tableStyleInfo name="TableStyleMedium23" showFirstColumn="0" showLastColumn="0" showRowStripes="1" showColumnStripes="0"/>
</table>
</file>

<file path=xl/tables/table78.xml><?xml version="1.0" encoding="utf-8"?>
<table xmlns="http://schemas.openxmlformats.org/spreadsheetml/2006/main" id="78" name="Table5196779" displayName="Table5196779" ref="B36:E39" totalsRowCount="1" headerRowDxfId="375" dataDxfId="374" totalsRowDxfId="372" tableBorderDxfId="373">
  <autoFilter ref="B36:E38"/>
  <tableColumns count="4">
    <tableColumn id="1" name="FOOD" totalsRowLabel="Total" dataDxfId="371" totalsRowDxfId="370"/>
    <tableColumn id="2" name="Projected Cost" totalsRowFunction="sum" dataDxfId="369" totalsRowDxfId="368"/>
    <tableColumn id="3" name="Actual Cost" totalsRowFunction="sum" dataDxfId="367" totalsRowDxfId="366"/>
    <tableColumn id="4" name="Difference" totalsRowFunction="sum" dataDxfId="365" totalsRowDxfId="364">
      <calculatedColumnFormula>Table5196779[Projected Cost]-Table5196779[Actual Cost]</calculatedColumnFormula>
    </tableColumn>
  </tableColumns>
  <tableStyleInfo name="TableStyleMedium23" showFirstColumn="0" showLastColumn="0" showRowStripes="1" showColumnStripes="0"/>
</table>
</file>

<file path=xl/tables/table79.xml><?xml version="1.0" encoding="utf-8"?>
<table xmlns="http://schemas.openxmlformats.org/spreadsheetml/2006/main" id="79" name="Table9206880" displayName="Table9206880" ref="G33:J38" totalsRowCount="1" headerRowDxfId="363" dataDxfId="362" totalsRowDxfId="360" tableBorderDxfId="361">
  <autoFilter ref="G33:J37"/>
  <tableColumns count="4">
    <tableColumn id="1" name="TAXES" totalsRowLabel="Total" dataDxfId="359" totalsRowDxfId="358"/>
    <tableColumn id="2" name="Projected Cost" totalsRowFunction="sum" dataDxfId="357" totalsRowDxfId="356"/>
    <tableColumn id="3" name="Actual Cost" totalsRowFunction="sum" dataDxfId="355" totalsRowDxfId="354"/>
    <tableColumn id="4" name="Difference" totalsRowFunction="sum" dataDxfId="353" totalsRowDxfId="352">
      <calculatedColumnFormula>Table9206880[Projected Cost]-Table9206880[Actual Cost]</calculatedColumnFormula>
    </tableColumn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3" name="Table3" displayName="Table3" ref="B20:E27" totalsRowCount="1" headerRowDxfId="1215" dataDxfId="1214" totalsRowDxfId="1212" tableBorderDxfId="1213">
  <autoFilter ref="B20:E26"/>
  <tableColumns count="4">
    <tableColumn id="1" name="TRANSPORTATION" totalsRowLabel="Total" dataDxfId="1211" totalsRowDxfId="1210"/>
    <tableColumn id="2" name="Projected Cost" totalsRowFunction="sum" dataDxfId="1209" totalsRowDxfId="1208"/>
    <tableColumn id="3" name="Actual Cost" totalsRowFunction="sum" dataDxfId="1207" totalsRowDxfId="1206"/>
    <tableColumn id="4" name="Difference" totalsRowFunction="sum" dataDxfId="1205" totalsRowDxfId="1204">
      <calculatedColumnFormula>Table3[Projected Cost]-Table3[Actual Cost]</calculatedColumnFormula>
    </tableColumn>
  </tableColumns>
  <tableStyleInfo name="TableStyleMedium23" showFirstColumn="0" showLastColumn="0" showRowStripes="1" showColumnStripes="0"/>
</table>
</file>

<file path=xl/tables/table80.xml><?xml version="1.0" encoding="utf-8"?>
<table xmlns="http://schemas.openxmlformats.org/spreadsheetml/2006/main" id="80" name="Table3216981" displayName="Table3216981" ref="B20:E27" totalsRowCount="1" headerRowDxfId="351" dataDxfId="350" totalsRowDxfId="348" tableBorderDxfId="349">
  <autoFilter ref="B20:E26"/>
  <tableColumns count="4">
    <tableColumn id="1" name="TRANSPORTATION" totalsRowLabel="Total" dataDxfId="347" totalsRowDxfId="346"/>
    <tableColumn id="2" name="Projected Cost" totalsRowFunction="sum" dataDxfId="345" totalsRowDxfId="344"/>
    <tableColumn id="3" name="Actual Cost" totalsRowFunction="sum" dataDxfId="343" totalsRowDxfId="342"/>
    <tableColumn id="4" name="Difference" totalsRowFunction="sum" dataDxfId="341" totalsRowDxfId="340">
      <calculatedColumnFormula>Table3216981[Projected Cost]-Table3216981[Actual Cost]</calculatedColumnFormula>
    </tableColumn>
  </tableColumns>
  <tableStyleInfo name="TableStyleMedium23" showFirstColumn="0" showLastColumn="0" showRowStripes="1" showColumnStripes="0"/>
</table>
</file>

<file path=xl/tables/table81.xml><?xml version="1.0" encoding="utf-8"?>
<table xmlns="http://schemas.openxmlformats.org/spreadsheetml/2006/main" id="81" name="Table8227082" displayName="Table8227082" ref="G24:J31" totalsRowCount="1" headerRowDxfId="339" dataDxfId="338" totalsRowDxfId="336" tableBorderDxfId="337">
  <autoFilter ref="G24:J30"/>
  <tableColumns count="4">
    <tableColumn id="1" name="LOANS" totalsRowLabel="Total" dataDxfId="335" totalsRowDxfId="334"/>
    <tableColumn id="2" name="Projected Cost" totalsRowFunction="sum" dataDxfId="333" totalsRowDxfId="332"/>
    <tableColumn id="3" name="Actual Cost" totalsRowFunction="sum" dataDxfId="331" totalsRowDxfId="330"/>
    <tableColumn id="4" name="Difference" totalsRowFunction="sum" dataDxfId="329" totalsRowDxfId="328">
      <calculatedColumnFormula>Table8227082[Projected Cost]-Table8227082[Actual Cost]</calculatedColumnFormula>
    </tableColumn>
  </tableColumns>
  <tableStyleInfo name="TableStyleMedium23" showFirstColumn="0" showLastColumn="0" showRowStripes="1" showColumnStripes="0"/>
</table>
</file>

<file path=xl/tables/table82.xml><?xml version="1.0" encoding="utf-8"?>
<table xmlns="http://schemas.openxmlformats.org/spreadsheetml/2006/main" id="82" name="Table10237183" displayName="Table10237183" ref="G40:J44" totalsRowCount="1" headerRowDxfId="327" dataDxfId="326" totalsRowDxfId="324" tableBorderDxfId="325">
  <autoFilter ref="G40:J43"/>
  <tableColumns count="4">
    <tableColumn id="1" name="SAVINGS OR INVESTMENTS" totalsRowLabel="Total" dataDxfId="323" totalsRowDxfId="322"/>
    <tableColumn id="2" name="Projected Cost" totalsRowFunction="sum" dataDxfId="321" totalsRowDxfId="320"/>
    <tableColumn id="3" name="Actual Cost" totalsRowFunction="sum" dataDxfId="319" totalsRowDxfId="318"/>
    <tableColumn id="4" name="Difference" totalsRowFunction="sum" dataDxfId="317" totalsRowDxfId="316">
      <calculatedColumnFormula>Table10237183[Projected Cost]-Table10237183[Actual Cost]</calculatedColumnFormula>
    </tableColumn>
  </tableColumns>
  <tableStyleInfo name="TableStyleMedium23" showFirstColumn="0" showLastColumn="0" showRowStripes="1" showColumnStripes="0"/>
</table>
</file>

<file path=xl/tables/table83.xml><?xml version="1.0" encoding="utf-8"?>
<table xmlns="http://schemas.openxmlformats.org/spreadsheetml/2006/main" id="83" name="Table7247284" displayName="Table7247284" ref="B49:E57" totalsRowCount="1" headerRowDxfId="315" dataDxfId="314" totalsRowDxfId="312" tableBorderDxfId="313">
  <autoFilter ref="B49:E56"/>
  <tableColumns count="4">
    <tableColumn id="1" name="PERSONAL CARE" totalsRowLabel="Total" dataDxfId="311" totalsRowDxfId="310"/>
    <tableColumn id="2" name="Projected Cost" totalsRowFunction="sum" dataDxfId="309" totalsRowDxfId="308"/>
    <tableColumn id="3" name="Actual Cost" totalsRowFunction="sum" dataDxfId="307" totalsRowDxfId="306"/>
    <tableColumn id="4" name="Difference" totalsRowFunction="sum" dataDxfId="305" totalsRowDxfId="304">
      <calculatedColumnFormula>Table7247284[Projected Cost]-Table7247284[Actual Cost]</calculatedColumnFormula>
    </tableColumn>
  </tableColumns>
  <tableStyleInfo name="TableStyleMedium23" showFirstColumn="0" showLastColumn="0" showRowStripes="1" showColumnStripes="0"/>
</table>
</file>

<file path=xl/tables/table84.xml><?xml version="1.0" encoding="utf-8"?>
<table xmlns="http://schemas.openxmlformats.org/spreadsheetml/2006/main" id="84" name="Table2257385" displayName="Table2257385" ref="G12:J22" totalsRowCount="1" headerRowDxfId="303" dataDxfId="302" totalsRowDxfId="300" tableBorderDxfId="301">
  <autoFilter ref="G12:J21"/>
  <tableColumns count="4">
    <tableColumn id="1" name="ENTERTAINMENT" totalsRowLabel="Total" dataDxfId="299" totalsRowDxfId="298"/>
    <tableColumn id="2" name="Projected Cost" totalsRowFunction="sum" dataDxfId="297" totalsRowDxfId="296"/>
    <tableColumn id="3" name="Actual Cost" totalsRowFunction="sum" dataDxfId="295" totalsRowDxfId="294"/>
    <tableColumn id="4" name="Difference" totalsRowFunction="sum" dataDxfId="293" totalsRowDxfId="292">
      <calculatedColumnFormula>Table2257385[Projected Cost]-Table2257385[Actual Cost]</calculatedColumnFormula>
    </tableColumn>
  </tableColumns>
  <tableStyleInfo name="TableStyleMedium23" showFirstColumn="0" showLastColumn="0" showRowStripes="1" showColumnStripes="0"/>
</table>
</file>

<file path=xl/tables/table85.xml><?xml version="1.0" encoding="utf-8"?>
<table xmlns="http://schemas.openxmlformats.org/spreadsheetml/2006/main" id="85" name="Table1146286" displayName="Table1146286" ref="B13:E18" totalsRowCount="1" headerRowDxfId="291" dataDxfId="290" totalsRowDxfId="288" tableBorderDxfId="289">
  <autoFilter ref="B13:E17"/>
  <tableColumns count="4">
    <tableColumn id="1" name="HOME" totalsRowLabel="Total" dataDxfId="287" totalsRowDxfId="286"/>
    <tableColumn id="2" name="Projected Cost" totalsRowFunction="sum" dataDxfId="285" totalsRowDxfId="284"/>
    <tableColumn id="3" name="Actual Cost" totalsRowFunction="sum" dataDxfId="283" totalsRowDxfId="282"/>
    <tableColumn id="4" name="Difference" totalsRowFunction="sum" dataDxfId="281" totalsRowDxfId="280">
      <calculatedColumnFormula>Table1146286[Projected Cost]-Table1146286[Actual Cost]</calculatedColumnFormula>
    </tableColumn>
  </tableColumns>
  <tableStyleInfo name="TableStyleMedium23" showFirstColumn="0" showLastColumn="0" showRowStripes="1" showColumnStripes="0"/>
</table>
</file>

<file path=xl/tables/table86.xml><?xml version="1.0" encoding="utf-8"?>
<table xmlns="http://schemas.openxmlformats.org/spreadsheetml/2006/main" id="86" name="Table4156387" displayName="Table4156387" ref="B29:E34" totalsRowCount="1" headerRowDxfId="279" dataDxfId="278" totalsRowDxfId="276" tableBorderDxfId="277">
  <autoFilter ref="B29:E33"/>
  <tableColumns count="4">
    <tableColumn id="1" name="UTILITIES" totalsRowLabel="Total" dataDxfId="275" totalsRowDxfId="274"/>
    <tableColumn id="2" name="Projected Cost" totalsRowFunction="sum" dataDxfId="273" totalsRowDxfId="272"/>
    <tableColumn id="3" name="Actual Cost" totalsRowFunction="sum" dataDxfId="271" totalsRowDxfId="270"/>
    <tableColumn id="4" name="Difference" totalsRowFunction="sum" dataDxfId="269" totalsRowDxfId="268">
      <calculatedColumnFormula>Table4156387[Projected Cost]-Table4156387[Actual Cost]</calculatedColumnFormula>
    </tableColumn>
  </tableColumns>
  <tableStyleInfo name="TableStyleMedium23" showFirstColumn="0" showLastColumn="0" showRowStripes="1" showColumnStripes="0"/>
</table>
</file>

<file path=xl/tables/table87.xml><?xml version="1.0" encoding="utf-8"?>
<table xmlns="http://schemas.openxmlformats.org/spreadsheetml/2006/main" id="87" name="Table12166488" displayName="Table12166488" ref="G52:J57" totalsRowCount="1" headerRowDxfId="267" dataDxfId="266" totalsRowDxfId="264" tableBorderDxfId="265">
  <autoFilter ref="G52:J56"/>
  <tableColumns count="4">
    <tableColumn id="1" name="MISC" totalsRowLabel="Total" dataDxfId="263" totalsRowDxfId="262"/>
    <tableColumn id="2" name="Projected Cost" totalsRowFunction="sum" dataDxfId="261" totalsRowDxfId="260"/>
    <tableColumn id="3" name="Actual Cost" totalsRowFunction="sum" dataDxfId="259" totalsRowDxfId="258"/>
    <tableColumn id="4" name="Difference" totalsRowFunction="sum" dataDxfId="257" totalsRowDxfId="256">
      <calculatedColumnFormula>Table12166488[Projected Cost]-Table12166488[Actual Cost]</calculatedColumnFormula>
    </tableColumn>
  </tableColumns>
  <tableStyleInfo name="TableStyleMedium23" showFirstColumn="0" showLastColumn="0" showRowStripes="1" showColumnStripes="0"/>
</table>
</file>

<file path=xl/tables/table88.xml><?xml version="1.0" encoding="utf-8"?>
<table xmlns="http://schemas.openxmlformats.org/spreadsheetml/2006/main" id="88" name="Table6176589" displayName="Table6176589" ref="B41:E47" totalsRowCount="1" headerRowDxfId="255" dataDxfId="254" totalsRowDxfId="252" tableBorderDxfId="253">
  <autoFilter ref="B41:E46"/>
  <tableColumns count="4">
    <tableColumn id="1" name="CONNECTIONS" totalsRowLabel="Total" dataDxfId="251" totalsRowDxfId="250"/>
    <tableColumn id="2" name="Projected Cost" totalsRowFunction="sum" dataDxfId="249" totalsRowDxfId="248"/>
    <tableColumn id="3" name="Actual Cost" totalsRowFunction="sum" dataDxfId="247" totalsRowDxfId="246"/>
    <tableColumn id="4" name="Difference" totalsRowFunction="sum" dataDxfId="245" totalsRowDxfId="244">
      <calculatedColumnFormula>Table6176589[Projected Cost]-Table6176589[Actual Cost]</calculatedColumnFormula>
    </tableColumn>
  </tableColumns>
  <tableStyleInfo name="TableStyleMedium23" showFirstColumn="0" showLastColumn="0" showRowStripes="1" showColumnStripes="0"/>
</table>
</file>

<file path=xl/tables/table89.xml><?xml version="1.0" encoding="utf-8"?>
<table xmlns="http://schemas.openxmlformats.org/spreadsheetml/2006/main" id="89" name="Table11186690" displayName="Table11186690" ref="G46:J50" totalsRowCount="1" headerRowDxfId="243" dataDxfId="242" totalsRowDxfId="240" tableBorderDxfId="241">
  <autoFilter ref="G46:J49"/>
  <tableColumns count="4">
    <tableColumn id="1" name="MEDICAL" totalsRowLabel="Total" dataDxfId="239" totalsRowDxfId="238"/>
    <tableColumn id="2" name="Projected Cost" totalsRowFunction="sum" dataDxfId="237" totalsRowDxfId="236"/>
    <tableColumn id="3" name="Actual Cost" totalsRowFunction="sum" dataDxfId="235" totalsRowDxfId="234"/>
    <tableColumn id="4" name="Difference" totalsRowFunction="sum" dataDxfId="233" totalsRowDxfId="232">
      <calculatedColumnFormula>Table11186690[Projected Cost]-Table11186690[Actual Cost]</calculatedColumnFormula>
    </tableColumn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8" name="Table8" displayName="Table8" ref="G24:J31" totalsRowCount="1" headerRowDxfId="1203" dataDxfId="1202" totalsRowDxfId="1200" tableBorderDxfId="1201">
  <autoFilter ref="G24:J30"/>
  <tableColumns count="4">
    <tableColumn id="1" name="LOANS" totalsRowLabel="Total" dataDxfId="1199" totalsRowDxfId="1198"/>
    <tableColumn id="2" name="Projected Cost" totalsRowFunction="sum" dataDxfId="1197" totalsRowDxfId="1196"/>
    <tableColumn id="3" name="Actual Cost" totalsRowFunction="sum" dataDxfId="1195" totalsRowDxfId="1194"/>
    <tableColumn id="4" name="Difference" totalsRowFunction="sum" dataDxfId="1193" totalsRowDxfId="1192">
      <calculatedColumnFormula>Table8[Projected Cost]-Table8[Actual Cost]</calculatedColumnFormula>
    </tableColumn>
  </tableColumns>
  <tableStyleInfo name="TableStyleMedium23" showFirstColumn="0" showLastColumn="0" showRowStripes="1" showColumnStripes="0"/>
</table>
</file>

<file path=xl/tables/table90.xml><?xml version="1.0" encoding="utf-8"?>
<table xmlns="http://schemas.openxmlformats.org/spreadsheetml/2006/main" id="90" name="Table5196791" displayName="Table5196791" ref="B36:E39" totalsRowCount="1" headerRowDxfId="231" dataDxfId="230" totalsRowDxfId="228" tableBorderDxfId="229">
  <autoFilter ref="B36:E38"/>
  <tableColumns count="4">
    <tableColumn id="1" name="FOOD" totalsRowLabel="Total" dataDxfId="227" totalsRowDxfId="226"/>
    <tableColumn id="2" name="Projected Cost" totalsRowFunction="sum" dataDxfId="225" totalsRowDxfId="224"/>
    <tableColumn id="3" name="Actual Cost" totalsRowFunction="sum" dataDxfId="223" totalsRowDxfId="222"/>
    <tableColumn id="4" name="Difference" totalsRowFunction="sum" dataDxfId="221" totalsRowDxfId="220">
      <calculatedColumnFormula>Table5196791[Projected Cost]-Table5196791[Actual Cost]</calculatedColumnFormula>
    </tableColumn>
  </tableColumns>
  <tableStyleInfo name="TableStyleMedium23" showFirstColumn="0" showLastColumn="0" showRowStripes="1" showColumnStripes="0"/>
</table>
</file>

<file path=xl/tables/table91.xml><?xml version="1.0" encoding="utf-8"?>
<table xmlns="http://schemas.openxmlformats.org/spreadsheetml/2006/main" id="91" name="Table9206892" displayName="Table9206892" ref="G33:J38" totalsRowCount="1" headerRowDxfId="219" dataDxfId="218" totalsRowDxfId="216" tableBorderDxfId="217">
  <autoFilter ref="G33:J37"/>
  <tableColumns count="4">
    <tableColumn id="1" name="TAXES" totalsRowLabel="Total" dataDxfId="215" totalsRowDxfId="214"/>
    <tableColumn id="2" name="Projected Cost" totalsRowFunction="sum" dataDxfId="213" totalsRowDxfId="212"/>
    <tableColumn id="3" name="Actual Cost" totalsRowFunction="sum" dataDxfId="211" totalsRowDxfId="210"/>
    <tableColumn id="4" name="Difference" totalsRowFunction="sum" dataDxfId="209" totalsRowDxfId="208">
      <calculatedColumnFormula>Table9206892[Projected Cost]-Table9206892[Actual Cost]</calculatedColumnFormula>
    </tableColumn>
  </tableColumns>
  <tableStyleInfo name="TableStyleMedium23" showFirstColumn="0" showLastColumn="0" showRowStripes="1" showColumnStripes="0"/>
</table>
</file>

<file path=xl/tables/table92.xml><?xml version="1.0" encoding="utf-8"?>
<table xmlns="http://schemas.openxmlformats.org/spreadsheetml/2006/main" id="92" name="Table3216993" displayName="Table3216993" ref="B20:E27" totalsRowCount="1" headerRowDxfId="207" dataDxfId="206" totalsRowDxfId="204" tableBorderDxfId="205">
  <autoFilter ref="B20:E26"/>
  <tableColumns count="4">
    <tableColumn id="1" name="TRANSPORTATION" totalsRowLabel="Total" dataDxfId="203" totalsRowDxfId="202"/>
    <tableColumn id="2" name="Projected Cost" totalsRowFunction="sum" dataDxfId="201" totalsRowDxfId="200"/>
    <tableColumn id="3" name="Actual Cost" totalsRowFunction="sum" dataDxfId="199" totalsRowDxfId="198"/>
    <tableColumn id="4" name="Difference" totalsRowFunction="sum" dataDxfId="197" totalsRowDxfId="196">
      <calculatedColumnFormula>Table3216993[Projected Cost]-Table3216993[Actual Cost]</calculatedColumnFormula>
    </tableColumn>
  </tableColumns>
  <tableStyleInfo name="TableStyleMedium23" showFirstColumn="0" showLastColumn="0" showRowStripes="1" showColumnStripes="0"/>
</table>
</file>

<file path=xl/tables/table93.xml><?xml version="1.0" encoding="utf-8"?>
<table xmlns="http://schemas.openxmlformats.org/spreadsheetml/2006/main" id="93" name="Table8227094" displayName="Table8227094" ref="G24:J31" totalsRowCount="1" headerRowDxfId="195" dataDxfId="194" totalsRowDxfId="192" tableBorderDxfId="193">
  <autoFilter ref="G24:J30"/>
  <tableColumns count="4">
    <tableColumn id="1" name="LOANS" totalsRowLabel="Total" dataDxfId="191" totalsRowDxfId="190"/>
    <tableColumn id="2" name="Projected Cost" totalsRowFunction="sum" dataDxfId="189" totalsRowDxfId="188"/>
    <tableColumn id="3" name="Actual Cost" totalsRowFunction="sum" dataDxfId="187" totalsRowDxfId="186"/>
    <tableColumn id="4" name="Difference" totalsRowFunction="sum" dataDxfId="185" totalsRowDxfId="184">
      <calculatedColumnFormula>Table8227094[Projected Cost]-Table8227094[Actual Cost]</calculatedColumnFormula>
    </tableColumn>
  </tableColumns>
  <tableStyleInfo name="TableStyleMedium23" showFirstColumn="0" showLastColumn="0" showRowStripes="1" showColumnStripes="0"/>
</table>
</file>

<file path=xl/tables/table94.xml><?xml version="1.0" encoding="utf-8"?>
<table xmlns="http://schemas.openxmlformats.org/spreadsheetml/2006/main" id="94" name="Table10237195" displayName="Table10237195" ref="G40:J44" totalsRowCount="1" headerRowDxfId="183" dataDxfId="182" totalsRowDxfId="180" tableBorderDxfId="181">
  <autoFilter ref="G40:J43"/>
  <tableColumns count="4">
    <tableColumn id="1" name="SAVINGS OR INVESTMENTS" totalsRowLabel="Total" dataDxfId="179" totalsRowDxfId="178"/>
    <tableColumn id="2" name="Projected Cost" totalsRowFunction="sum" dataDxfId="177" totalsRowDxfId="176"/>
    <tableColumn id="3" name="Actual Cost" totalsRowFunction="sum" dataDxfId="175" totalsRowDxfId="174"/>
    <tableColumn id="4" name="Difference" totalsRowFunction="sum" dataDxfId="173" totalsRowDxfId="172">
      <calculatedColumnFormula>Table10237195[Projected Cost]-Table10237195[Actual Cost]</calculatedColumnFormula>
    </tableColumn>
  </tableColumns>
  <tableStyleInfo name="TableStyleMedium23" showFirstColumn="0" showLastColumn="0" showRowStripes="1" showColumnStripes="0"/>
</table>
</file>

<file path=xl/tables/table95.xml><?xml version="1.0" encoding="utf-8"?>
<table xmlns="http://schemas.openxmlformats.org/spreadsheetml/2006/main" id="95" name="Table7247296" displayName="Table7247296" ref="B49:E57" totalsRowCount="1" headerRowDxfId="171" dataDxfId="170" totalsRowDxfId="168" tableBorderDxfId="169">
  <autoFilter ref="B49:E56"/>
  <tableColumns count="4">
    <tableColumn id="1" name="PERSONAL CARE" totalsRowLabel="Total" dataDxfId="167" totalsRowDxfId="166"/>
    <tableColumn id="2" name="Projected Cost" totalsRowFunction="sum" dataDxfId="165" totalsRowDxfId="164"/>
    <tableColumn id="3" name="Actual Cost" totalsRowFunction="sum" dataDxfId="163" totalsRowDxfId="162"/>
    <tableColumn id="4" name="Difference" totalsRowFunction="sum" dataDxfId="161" totalsRowDxfId="160">
      <calculatedColumnFormula>Table7247296[Projected Cost]-Table7247296[Actual Cost]</calculatedColumnFormula>
    </tableColumn>
  </tableColumns>
  <tableStyleInfo name="TableStyleMedium23" showFirstColumn="0" showLastColumn="0" showRowStripes="1" showColumnStripes="0"/>
</table>
</file>

<file path=xl/tables/table96.xml><?xml version="1.0" encoding="utf-8"?>
<table xmlns="http://schemas.openxmlformats.org/spreadsheetml/2006/main" id="96" name="Table2257397" displayName="Table2257397" ref="G12:J22" totalsRowCount="1" headerRowDxfId="159" dataDxfId="158" totalsRowDxfId="156" tableBorderDxfId="157">
  <autoFilter ref="G12:J21"/>
  <tableColumns count="4">
    <tableColumn id="1" name="ENTERTAINMENT" totalsRowLabel="Total" dataDxfId="155" totalsRowDxfId="154"/>
    <tableColumn id="2" name="Projected Cost" totalsRowFunction="sum" dataDxfId="153" totalsRowDxfId="152"/>
    <tableColumn id="3" name="Actual Cost" totalsRowFunction="sum" dataDxfId="151" totalsRowDxfId="150"/>
    <tableColumn id="4" name="Difference" totalsRowFunction="sum" dataDxfId="149" totalsRowDxfId="148">
      <calculatedColumnFormula>Table2257397[Projected Cost]-Table2257397[Actual Cost]</calculatedColumnFormula>
    </tableColumn>
  </tableColumns>
  <tableStyleInfo name="TableStyleMedium23" showFirstColumn="0" showLastColumn="0" showRowStripes="1" showColumnStripes="0"/>
</table>
</file>

<file path=xl/tables/table97.xml><?xml version="1.0" encoding="utf-8"?>
<table xmlns="http://schemas.openxmlformats.org/spreadsheetml/2006/main" id="97" name="Table114628698" displayName="Table114628698" ref="B13:E18" totalsRowCount="1" headerRowDxfId="147" dataDxfId="146" totalsRowDxfId="144" tableBorderDxfId="145">
  <autoFilter ref="B13:E17"/>
  <tableColumns count="4">
    <tableColumn id="1" name="HOME" totalsRowLabel="Total" dataDxfId="143" totalsRowDxfId="142"/>
    <tableColumn id="2" name="Projected Cost" totalsRowFunction="sum" dataDxfId="141" totalsRowDxfId="140"/>
    <tableColumn id="3" name="Actual Cost" totalsRowFunction="sum" dataDxfId="139" totalsRowDxfId="138"/>
    <tableColumn id="4" name="Difference" totalsRowFunction="sum" dataDxfId="137" totalsRowDxfId="136">
      <calculatedColumnFormula>Table114628698[Projected Cost]-Table114628698[Actual Cost]</calculatedColumnFormula>
    </tableColumn>
  </tableColumns>
  <tableStyleInfo name="TableStyleMedium23" showFirstColumn="0" showLastColumn="0" showRowStripes="1" showColumnStripes="0"/>
</table>
</file>

<file path=xl/tables/table98.xml><?xml version="1.0" encoding="utf-8"?>
<table xmlns="http://schemas.openxmlformats.org/spreadsheetml/2006/main" id="98" name="Table415638799" displayName="Table415638799" ref="B29:E34" totalsRowCount="1" headerRowDxfId="135" dataDxfId="134" totalsRowDxfId="132" tableBorderDxfId="133">
  <autoFilter ref="B29:E33"/>
  <tableColumns count="4">
    <tableColumn id="1" name="UTILITIES" totalsRowLabel="Total" dataDxfId="131" totalsRowDxfId="130"/>
    <tableColumn id="2" name="Projected Cost" totalsRowFunction="sum" dataDxfId="129" totalsRowDxfId="128"/>
    <tableColumn id="3" name="Actual Cost" totalsRowFunction="sum" dataDxfId="127" totalsRowDxfId="126"/>
    <tableColumn id="4" name="Difference" totalsRowFunction="sum" dataDxfId="125" totalsRowDxfId="124">
      <calculatedColumnFormula>Table415638799[Projected Cost]-Table415638799[Actual Cost]</calculatedColumnFormula>
    </tableColumn>
  </tableColumns>
  <tableStyleInfo name="TableStyleMedium23" showFirstColumn="0" showLastColumn="0" showRowStripes="1" showColumnStripes="0"/>
</table>
</file>

<file path=xl/tables/table99.xml><?xml version="1.0" encoding="utf-8"?>
<table xmlns="http://schemas.openxmlformats.org/spreadsheetml/2006/main" id="99" name="Table12166488100" displayName="Table12166488100" ref="G52:J57" totalsRowCount="1" headerRowDxfId="123" dataDxfId="122" totalsRowDxfId="120" tableBorderDxfId="121">
  <autoFilter ref="G52:J56"/>
  <tableColumns count="4">
    <tableColumn id="1" name="MISC" totalsRowLabel="Total" dataDxfId="119" totalsRowDxfId="118"/>
    <tableColumn id="2" name="Projected Cost" totalsRowFunction="sum" dataDxfId="117" totalsRowDxfId="116"/>
    <tableColumn id="3" name="Actual Cost" totalsRowFunction="sum" dataDxfId="115" totalsRowDxfId="114"/>
    <tableColumn id="4" name="Difference" totalsRowFunction="sum" dataDxfId="113" totalsRowDxfId="112">
      <calculatedColumnFormula>Table12166488100[Projected Cost]-Table12166488100[Actual Cost]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10.xml"/><Relationship Id="rId12" Type="http://schemas.openxmlformats.org/officeDocument/2006/relationships/table" Target="../tables/table11.xml"/><Relationship Id="rId13" Type="http://schemas.openxmlformats.org/officeDocument/2006/relationships/table" Target="../tables/table12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8" Type="http://schemas.openxmlformats.org/officeDocument/2006/relationships/table" Target="../tables/table7.xml"/><Relationship Id="rId9" Type="http://schemas.openxmlformats.org/officeDocument/2006/relationships/table" Target="../tables/table8.xml"/><Relationship Id="rId10" Type="http://schemas.openxmlformats.org/officeDocument/2006/relationships/table" Target="../tables/table9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table" Target="../tables/table109.x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22.xml"/><Relationship Id="rId12" Type="http://schemas.openxmlformats.org/officeDocument/2006/relationships/table" Target="../tables/table23.xml"/><Relationship Id="rId13" Type="http://schemas.openxmlformats.org/officeDocument/2006/relationships/table" Target="../tables/table24.xml"/><Relationship Id="rId1" Type="http://schemas.openxmlformats.org/officeDocument/2006/relationships/drawing" Target="../drawings/drawing2.xml"/><Relationship Id="rId2" Type="http://schemas.openxmlformats.org/officeDocument/2006/relationships/table" Target="../tables/table13.xml"/><Relationship Id="rId3" Type="http://schemas.openxmlformats.org/officeDocument/2006/relationships/table" Target="../tables/table14.xml"/><Relationship Id="rId4" Type="http://schemas.openxmlformats.org/officeDocument/2006/relationships/table" Target="../tables/table15.xml"/><Relationship Id="rId5" Type="http://schemas.openxmlformats.org/officeDocument/2006/relationships/table" Target="../tables/table16.xml"/><Relationship Id="rId6" Type="http://schemas.openxmlformats.org/officeDocument/2006/relationships/table" Target="../tables/table17.xml"/><Relationship Id="rId7" Type="http://schemas.openxmlformats.org/officeDocument/2006/relationships/table" Target="../tables/table18.xml"/><Relationship Id="rId8" Type="http://schemas.openxmlformats.org/officeDocument/2006/relationships/table" Target="../tables/table19.xml"/><Relationship Id="rId9" Type="http://schemas.openxmlformats.org/officeDocument/2006/relationships/table" Target="../tables/table20.xml"/><Relationship Id="rId10" Type="http://schemas.openxmlformats.org/officeDocument/2006/relationships/table" Target="../tables/table21.xm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34.xml"/><Relationship Id="rId12" Type="http://schemas.openxmlformats.org/officeDocument/2006/relationships/table" Target="../tables/table35.xml"/><Relationship Id="rId13" Type="http://schemas.openxmlformats.org/officeDocument/2006/relationships/table" Target="../tables/table36.xml"/><Relationship Id="rId1" Type="http://schemas.openxmlformats.org/officeDocument/2006/relationships/drawing" Target="../drawings/drawing3.xml"/><Relationship Id="rId2" Type="http://schemas.openxmlformats.org/officeDocument/2006/relationships/table" Target="../tables/table25.xml"/><Relationship Id="rId3" Type="http://schemas.openxmlformats.org/officeDocument/2006/relationships/table" Target="../tables/table26.xml"/><Relationship Id="rId4" Type="http://schemas.openxmlformats.org/officeDocument/2006/relationships/table" Target="../tables/table27.xml"/><Relationship Id="rId5" Type="http://schemas.openxmlformats.org/officeDocument/2006/relationships/table" Target="../tables/table28.xml"/><Relationship Id="rId6" Type="http://schemas.openxmlformats.org/officeDocument/2006/relationships/table" Target="../tables/table29.xml"/><Relationship Id="rId7" Type="http://schemas.openxmlformats.org/officeDocument/2006/relationships/table" Target="../tables/table30.xml"/><Relationship Id="rId8" Type="http://schemas.openxmlformats.org/officeDocument/2006/relationships/table" Target="../tables/table31.xml"/><Relationship Id="rId9" Type="http://schemas.openxmlformats.org/officeDocument/2006/relationships/table" Target="../tables/table32.xml"/><Relationship Id="rId10" Type="http://schemas.openxmlformats.org/officeDocument/2006/relationships/table" Target="../tables/table33.xml"/></Relationships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46.xml"/><Relationship Id="rId12" Type="http://schemas.openxmlformats.org/officeDocument/2006/relationships/table" Target="../tables/table47.xml"/><Relationship Id="rId13" Type="http://schemas.openxmlformats.org/officeDocument/2006/relationships/table" Target="../tables/table48.xml"/><Relationship Id="rId1" Type="http://schemas.openxmlformats.org/officeDocument/2006/relationships/drawing" Target="../drawings/drawing4.xml"/><Relationship Id="rId2" Type="http://schemas.openxmlformats.org/officeDocument/2006/relationships/table" Target="../tables/table37.xml"/><Relationship Id="rId3" Type="http://schemas.openxmlformats.org/officeDocument/2006/relationships/table" Target="../tables/table38.xml"/><Relationship Id="rId4" Type="http://schemas.openxmlformats.org/officeDocument/2006/relationships/table" Target="../tables/table39.xml"/><Relationship Id="rId5" Type="http://schemas.openxmlformats.org/officeDocument/2006/relationships/table" Target="../tables/table40.xml"/><Relationship Id="rId6" Type="http://schemas.openxmlformats.org/officeDocument/2006/relationships/table" Target="../tables/table41.xml"/><Relationship Id="rId7" Type="http://schemas.openxmlformats.org/officeDocument/2006/relationships/table" Target="../tables/table42.xml"/><Relationship Id="rId8" Type="http://schemas.openxmlformats.org/officeDocument/2006/relationships/table" Target="../tables/table43.xml"/><Relationship Id="rId9" Type="http://schemas.openxmlformats.org/officeDocument/2006/relationships/table" Target="../tables/table44.xml"/><Relationship Id="rId10" Type="http://schemas.openxmlformats.org/officeDocument/2006/relationships/table" Target="../tables/table45.xml"/></Relationships>
</file>

<file path=xl/worksheets/_rels/sheet5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58.xml"/><Relationship Id="rId12" Type="http://schemas.openxmlformats.org/officeDocument/2006/relationships/table" Target="../tables/table59.xml"/><Relationship Id="rId13" Type="http://schemas.openxmlformats.org/officeDocument/2006/relationships/table" Target="../tables/table60.xml"/><Relationship Id="rId1" Type="http://schemas.openxmlformats.org/officeDocument/2006/relationships/drawing" Target="../drawings/drawing5.xml"/><Relationship Id="rId2" Type="http://schemas.openxmlformats.org/officeDocument/2006/relationships/table" Target="../tables/table49.xml"/><Relationship Id="rId3" Type="http://schemas.openxmlformats.org/officeDocument/2006/relationships/table" Target="../tables/table50.xml"/><Relationship Id="rId4" Type="http://schemas.openxmlformats.org/officeDocument/2006/relationships/table" Target="../tables/table51.xml"/><Relationship Id="rId5" Type="http://schemas.openxmlformats.org/officeDocument/2006/relationships/table" Target="../tables/table52.xml"/><Relationship Id="rId6" Type="http://schemas.openxmlformats.org/officeDocument/2006/relationships/table" Target="../tables/table53.xml"/><Relationship Id="rId7" Type="http://schemas.openxmlformats.org/officeDocument/2006/relationships/table" Target="../tables/table54.xml"/><Relationship Id="rId8" Type="http://schemas.openxmlformats.org/officeDocument/2006/relationships/table" Target="../tables/table55.xml"/><Relationship Id="rId9" Type="http://schemas.openxmlformats.org/officeDocument/2006/relationships/table" Target="../tables/table56.xml"/><Relationship Id="rId10" Type="http://schemas.openxmlformats.org/officeDocument/2006/relationships/table" Target="../tables/table57.xml"/></Relationships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70.xml"/><Relationship Id="rId12" Type="http://schemas.openxmlformats.org/officeDocument/2006/relationships/table" Target="../tables/table71.xml"/><Relationship Id="rId13" Type="http://schemas.openxmlformats.org/officeDocument/2006/relationships/table" Target="../tables/table72.xml"/><Relationship Id="rId1" Type="http://schemas.openxmlformats.org/officeDocument/2006/relationships/drawing" Target="../drawings/drawing6.xml"/><Relationship Id="rId2" Type="http://schemas.openxmlformats.org/officeDocument/2006/relationships/table" Target="../tables/table61.xml"/><Relationship Id="rId3" Type="http://schemas.openxmlformats.org/officeDocument/2006/relationships/table" Target="../tables/table62.xml"/><Relationship Id="rId4" Type="http://schemas.openxmlformats.org/officeDocument/2006/relationships/table" Target="../tables/table63.xml"/><Relationship Id="rId5" Type="http://schemas.openxmlformats.org/officeDocument/2006/relationships/table" Target="../tables/table64.xml"/><Relationship Id="rId6" Type="http://schemas.openxmlformats.org/officeDocument/2006/relationships/table" Target="../tables/table65.xml"/><Relationship Id="rId7" Type="http://schemas.openxmlformats.org/officeDocument/2006/relationships/table" Target="../tables/table66.xml"/><Relationship Id="rId8" Type="http://schemas.openxmlformats.org/officeDocument/2006/relationships/table" Target="../tables/table67.xml"/><Relationship Id="rId9" Type="http://schemas.openxmlformats.org/officeDocument/2006/relationships/table" Target="../tables/table68.xml"/><Relationship Id="rId10" Type="http://schemas.openxmlformats.org/officeDocument/2006/relationships/table" Target="../tables/table69.xml"/></Relationships>
</file>

<file path=xl/worksheets/_rels/sheet7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82.xml"/><Relationship Id="rId12" Type="http://schemas.openxmlformats.org/officeDocument/2006/relationships/table" Target="../tables/table83.xml"/><Relationship Id="rId13" Type="http://schemas.openxmlformats.org/officeDocument/2006/relationships/table" Target="../tables/table84.xml"/><Relationship Id="rId1" Type="http://schemas.openxmlformats.org/officeDocument/2006/relationships/drawing" Target="../drawings/drawing7.xml"/><Relationship Id="rId2" Type="http://schemas.openxmlformats.org/officeDocument/2006/relationships/table" Target="../tables/table73.xml"/><Relationship Id="rId3" Type="http://schemas.openxmlformats.org/officeDocument/2006/relationships/table" Target="../tables/table74.xml"/><Relationship Id="rId4" Type="http://schemas.openxmlformats.org/officeDocument/2006/relationships/table" Target="../tables/table75.xml"/><Relationship Id="rId5" Type="http://schemas.openxmlformats.org/officeDocument/2006/relationships/table" Target="../tables/table76.xml"/><Relationship Id="rId6" Type="http://schemas.openxmlformats.org/officeDocument/2006/relationships/table" Target="../tables/table77.xml"/><Relationship Id="rId7" Type="http://schemas.openxmlformats.org/officeDocument/2006/relationships/table" Target="../tables/table78.xml"/><Relationship Id="rId8" Type="http://schemas.openxmlformats.org/officeDocument/2006/relationships/table" Target="../tables/table79.xml"/><Relationship Id="rId9" Type="http://schemas.openxmlformats.org/officeDocument/2006/relationships/table" Target="../tables/table80.xml"/><Relationship Id="rId10" Type="http://schemas.openxmlformats.org/officeDocument/2006/relationships/table" Target="../tables/table81.xml"/></Relationships>
</file>

<file path=xl/worksheets/_rels/sheet8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94.xml"/><Relationship Id="rId12" Type="http://schemas.openxmlformats.org/officeDocument/2006/relationships/table" Target="../tables/table95.xml"/><Relationship Id="rId13" Type="http://schemas.openxmlformats.org/officeDocument/2006/relationships/table" Target="../tables/table96.xml"/><Relationship Id="rId1" Type="http://schemas.openxmlformats.org/officeDocument/2006/relationships/drawing" Target="../drawings/drawing8.xml"/><Relationship Id="rId2" Type="http://schemas.openxmlformats.org/officeDocument/2006/relationships/table" Target="../tables/table85.xml"/><Relationship Id="rId3" Type="http://schemas.openxmlformats.org/officeDocument/2006/relationships/table" Target="../tables/table86.xml"/><Relationship Id="rId4" Type="http://schemas.openxmlformats.org/officeDocument/2006/relationships/table" Target="../tables/table87.xml"/><Relationship Id="rId5" Type="http://schemas.openxmlformats.org/officeDocument/2006/relationships/table" Target="../tables/table88.xml"/><Relationship Id="rId6" Type="http://schemas.openxmlformats.org/officeDocument/2006/relationships/table" Target="../tables/table89.xml"/><Relationship Id="rId7" Type="http://schemas.openxmlformats.org/officeDocument/2006/relationships/table" Target="../tables/table90.xml"/><Relationship Id="rId8" Type="http://schemas.openxmlformats.org/officeDocument/2006/relationships/table" Target="../tables/table91.xml"/><Relationship Id="rId9" Type="http://schemas.openxmlformats.org/officeDocument/2006/relationships/table" Target="../tables/table92.xml"/><Relationship Id="rId10" Type="http://schemas.openxmlformats.org/officeDocument/2006/relationships/table" Target="../tables/table93.xml"/></Relationships>
</file>

<file path=xl/worksheets/_rels/sheet9.xml.rels><?xml version="1.0" encoding="UTF-8" standalone="yes"?>
<Relationships xmlns="http://schemas.openxmlformats.org/package/2006/relationships"><Relationship Id="rId11" Type="http://schemas.openxmlformats.org/officeDocument/2006/relationships/table" Target="../tables/table106.xml"/><Relationship Id="rId12" Type="http://schemas.openxmlformats.org/officeDocument/2006/relationships/table" Target="../tables/table107.xml"/><Relationship Id="rId13" Type="http://schemas.openxmlformats.org/officeDocument/2006/relationships/table" Target="../tables/table108.xml"/><Relationship Id="rId1" Type="http://schemas.openxmlformats.org/officeDocument/2006/relationships/drawing" Target="../drawings/drawing9.xml"/><Relationship Id="rId2" Type="http://schemas.openxmlformats.org/officeDocument/2006/relationships/table" Target="../tables/table97.xml"/><Relationship Id="rId3" Type="http://schemas.openxmlformats.org/officeDocument/2006/relationships/table" Target="../tables/table98.xml"/><Relationship Id="rId4" Type="http://schemas.openxmlformats.org/officeDocument/2006/relationships/table" Target="../tables/table99.xml"/><Relationship Id="rId5" Type="http://schemas.openxmlformats.org/officeDocument/2006/relationships/table" Target="../tables/table100.xml"/><Relationship Id="rId6" Type="http://schemas.openxmlformats.org/officeDocument/2006/relationships/table" Target="../tables/table101.xml"/><Relationship Id="rId7" Type="http://schemas.openxmlformats.org/officeDocument/2006/relationships/table" Target="../tables/table102.xml"/><Relationship Id="rId8" Type="http://schemas.openxmlformats.org/officeDocument/2006/relationships/table" Target="../tables/table103.xml"/><Relationship Id="rId9" Type="http://schemas.openxmlformats.org/officeDocument/2006/relationships/table" Target="../tables/table104.xml"/><Relationship Id="rId10" Type="http://schemas.openxmlformats.org/officeDocument/2006/relationships/table" Target="../tables/table10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77"/>
  <sheetViews>
    <sheetView showGridLines="0" tabSelected="1" topLeftCell="A37" workbookViewId="0">
      <selection activeCell="C45" sqref="C45"/>
    </sheetView>
  </sheetViews>
  <sheetFormatPr baseColWidth="10" defaultColWidth="8.83203125" defaultRowHeight="14" x14ac:dyDescent="0"/>
  <cols>
    <col min="1" max="1" width="1.6640625" customWidth="1"/>
    <col min="2" max="2" width="28.33203125" bestFit="1" customWidth="1"/>
    <col min="3" max="3" width="17.1640625" bestFit="1" customWidth="1"/>
    <col min="4" max="4" width="14" bestFit="1" customWidth="1"/>
    <col min="5" max="5" width="12.83203125" bestFit="1" customWidth="1"/>
    <col min="6" max="6" width="2.83203125" customWidth="1"/>
    <col min="7" max="7" width="27.5" bestFit="1" customWidth="1"/>
    <col min="8" max="8" width="17.1640625" bestFit="1" customWidth="1"/>
    <col min="9" max="9" width="14" bestFit="1" customWidth="1"/>
    <col min="10" max="10" width="12.83203125" bestFit="1" customWidth="1"/>
  </cols>
  <sheetData>
    <row r="1" spans="1:10" ht="8" customHeight="1">
      <c r="A1" s="3"/>
      <c r="B1" s="1"/>
      <c r="C1" s="1"/>
      <c r="D1" s="1"/>
      <c r="E1" s="1"/>
      <c r="F1" s="1"/>
      <c r="G1" s="1"/>
      <c r="H1" s="1"/>
      <c r="I1" s="1"/>
      <c r="J1" s="2"/>
    </row>
    <row r="2" spans="1:10" ht="52" customHeight="1">
      <c r="A2" s="3"/>
      <c r="B2" s="58" t="s">
        <v>68</v>
      </c>
      <c r="C2" s="58"/>
      <c r="D2" s="58"/>
      <c r="E2" s="58"/>
      <c r="F2" s="58"/>
      <c r="G2" s="58"/>
      <c r="H2" s="58"/>
      <c r="I2" s="58"/>
      <c r="J2" s="58"/>
    </row>
    <row r="3" spans="1:10" ht="8" customHeight="1">
      <c r="A3" s="2"/>
      <c r="B3" s="66"/>
      <c r="C3" s="66"/>
      <c r="D3" s="66"/>
      <c r="E3" s="4"/>
      <c r="F3" s="5"/>
      <c r="G3" s="4"/>
      <c r="H3" s="6"/>
      <c r="I3" s="7"/>
      <c r="J3" s="8"/>
    </row>
    <row r="4" spans="1:10" ht="16" customHeight="1">
      <c r="A4" s="2"/>
      <c r="B4" s="63" t="s">
        <v>66</v>
      </c>
      <c r="C4" s="54" t="s">
        <v>3</v>
      </c>
      <c r="D4" s="55"/>
      <c r="E4" s="12">
        <v>2000</v>
      </c>
      <c r="F4" s="13"/>
      <c r="G4" s="59" t="s">
        <v>99</v>
      </c>
      <c r="H4" s="59"/>
      <c r="I4" s="59"/>
      <c r="J4" s="60">
        <f>E7-J59</f>
        <v>-750</v>
      </c>
    </row>
    <row r="5" spans="1:10" ht="16" customHeight="1">
      <c r="A5" s="2"/>
      <c r="B5" s="64"/>
      <c r="C5" s="14" t="s">
        <v>67</v>
      </c>
      <c r="D5" s="15"/>
      <c r="E5" s="12">
        <v>1000</v>
      </c>
      <c r="F5" s="13"/>
      <c r="G5" s="59"/>
      <c r="H5" s="59"/>
      <c r="I5" s="59"/>
      <c r="J5" s="60"/>
    </row>
    <row r="6" spans="1:10" ht="16" customHeight="1">
      <c r="A6" s="2"/>
      <c r="B6" s="64"/>
      <c r="C6" s="54" t="s">
        <v>64</v>
      </c>
      <c r="D6" s="55"/>
      <c r="E6" s="12">
        <v>250</v>
      </c>
      <c r="F6" s="13"/>
      <c r="G6" s="59"/>
      <c r="H6" s="59"/>
      <c r="I6" s="59"/>
      <c r="J6" s="60"/>
    </row>
    <row r="7" spans="1:10" ht="16" customHeight="1">
      <c r="A7" s="2"/>
      <c r="B7" s="65"/>
      <c r="C7" s="61" t="s">
        <v>18</v>
      </c>
      <c r="D7" s="62"/>
      <c r="E7" s="16">
        <f>SUM(E4:E6)</f>
        <v>3250</v>
      </c>
      <c r="F7" s="13"/>
      <c r="G7" s="59" t="s">
        <v>100</v>
      </c>
      <c r="H7" s="59"/>
      <c r="I7" s="59"/>
      <c r="J7" s="60">
        <f>E11-J60</f>
        <v>581</v>
      </c>
    </row>
    <row r="8" spans="1:10" ht="16" customHeight="1">
      <c r="A8" s="2"/>
      <c r="B8" s="63" t="s">
        <v>32</v>
      </c>
      <c r="C8" s="54" t="s">
        <v>3</v>
      </c>
      <c r="D8" s="55"/>
      <c r="E8" s="12">
        <v>2500</v>
      </c>
      <c r="F8" s="13"/>
      <c r="G8" s="59"/>
      <c r="H8" s="59"/>
      <c r="I8" s="59"/>
      <c r="J8" s="60"/>
    </row>
    <row r="9" spans="1:10" ht="16" customHeight="1">
      <c r="A9" s="2"/>
      <c r="B9" s="64"/>
      <c r="C9" s="14" t="s">
        <v>67</v>
      </c>
      <c r="D9" s="15"/>
      <c r="E9" s="12">
        <v>1000</v>
      </c>
      <c r="F9" s="13"/>
      <c r="G9" s="59" t="s">
        <v>101</v>
      </c>
      <c r="H9" s="59"/>
      <c r="I9" s="59"/>
      <c r="J9" s="60">
        <f>J7-J4</f>
        <v>1331</v>
      </c>
    </row>
    <row r="10" spans="1:10" ht="16" customHeight="1">
      <c r="A10" s="2"/>
      <c r="B10" s="64"/>
      <c r="C10" s="54" t="s">
        <v>64</v>
      </c>
      <c r="D10" s="55"/>
      <c r="E10" s="12">
        <v>500</v>
      </c>
      <c r="F10" s="13"/>
      <c r="G10" s="59"/>
      <c r="H10" s="59"/>
      <c r="I10" s="59"/>
      <c r="J10" s="60"/>
    </row>
    <row r="11" spans="1:10" ht="16" customHeight="1">
      <c r="A11" s="2"/>
      <c r="B11" s="65"/>
      <c r="C11" s="61" t="s">
        <v>18</v>
      </c>
      <c r="D11" s="62"/>
      <c r="E11" s="16">
        <f>SUM(E8:E10)</f>
        <v>4000</v>
      </c>
      <c r="F11" s="13"/>
      <c r="G11" s="17"/>
      <c r="H11" s="17"/>
      <c r="I11" s="17"/>
      <c r="J11" s="18"/>
    </row>
    <row r="12" spans="1:10" ht="16" customHeight="1">
      <c r="A12" s="2"/>
      <c r="B12" s="19"/>
      <c r="C12" s="19"/>
      <c r="D12" s="20"/>
      <c r="E12" s="21"/>
      <c r="F12" s="13"/>
      <c r="G12" s="22" t="s">
        <v>25</v>
      </c>
      <c r="H12" s="23" t="s">
        <v>0</v>
      </c>
      <c r="I12" s="23" t="s">
        <v>1</v>
      </c>
      <c r="J12" s="24" t="s">
        <v>2</v>
      </c>
    </row>
    <row r="13" spans="1:10" ht="16" customHeight="1">
      <c r="A13" s="2"/>
      <c r="B13" s="22" t="s">
        <v>37</v>
      </c>
      <c r="C13" s="23" t="s">
        <v>0</v>
      </c>
      <c r="D13" s="23" t="s">
        <v>1</v>
      </c>
      <c r="E13" s="24" t="s">
        <v>2</v>
      </c>
      <c r="F13" s="25"/>
      <c r="G13" s="26" t="s">
        <v>40</v>
      </c>
      <c r="H13" s="27">
        <v>20</v>
      </c>
      <c r="I13" s="27">
        <v>50</v>
      </c>
      <c r="J13" s="28">
        <f>Table2[Projected Cost]-Table2[Actual Cost]</f>
        <v>-30</v>
      </c>
    </row>
    <row r="14" spans="1:10" ht="15.75" customHeight="1">
      <c r="A14" s="2"/>
      <c r="B14" s="26" t="s">
        <v>4</v>
      </c>
      <c r="C14" s="27">
        <v>1000</v>
      </c>
      <c r="D14" s="27">
        <v>1010</v>
      </c>
      <c r="E14" s="28">
        <f>Table1[Projected Cost]-Table1[Actual Cost]</f>
        <v>-10</v>
      </c>
      <c r="F14" s="29"/>
      <c r="G14" s="30" t="s">
        <v>41</v>
      </c>
      <c r="H14" s="31"/>
      <c r="I14" s="31"/>
      <c r="J14" s="32">
        <f>Table2[Projected Cost]-Table2[Actual Cost]</f>
        <v>0</v>
      </c>
    </row>
    <row r="15" spans="1:10" ht="15.75" customHeight="1">
      <c r="A15" s="2"/>
      <c r="B15" s="30" t="s">
        <v>6</v>
      </c>
      <c r="C15" s="31">
        <v>100</v>
      </c>
      <c r="D15" s="31">
        <v>200</v>
      </c>
      <c r="E15" s="32">
        <f>Table1[Projected Cost]-Table1[Actual Cost]</f>
        <v>-100</v>
      </c>
      <c r="F15" s="29"/>
      <c r="G15" s="26" t="s">
        <v>13</v>
      </c>
      <c r="H15" s="27">
        <v>25</v>
      </c>
      <c r="I15" s="27">
        <v>45</v>
      </c>
      <c r="J15" s="28">
        <f>Table2[Projected Cost]-Table2[Actual Cost]</f>
        <v>-20</v>
      </c>
    </row>
    <row r="16" spans="1:10" ht="15.75" customHeight="1">
      <c r="A16" s="2"/>
      <c r="B16" s="26" t="s">
        <v>7</v>
      </c>
      <c r="C16" s="27"/>
      <c r="D16" s="27"/>
      <c r="E16" s="28">
        <f>Table1[Projected Cost]-Table1[Actual Cost]</f>
        <v>0</v>
      </c>
      <c r="F16" s="29"/>
      <c r="G16" s="30" t="s">
        <v>14</v>
      </c>
      <c r="H16" s="31"/>
      <c r="I16" s="31"/>
      <c r="J16" s="32">
        <f>Table2[Projected Cost]-Table2[Actual Cost]</f>
        <v>0</v>
      </c>
    </row>
    <row r="17" spans="1:10" ht="15.75" customHeight="1">
      <c r="A17" s="2"/>
      <c r="B17" s="30" t="s">
        <v>8</v>
      </c>
      <c r="C17" s="31"/>
      <c r="D17" s="31"/>
      <c r="E17" s="32">
        <f>Table1[Projected Cost]-Table1[Actual Cost]</f>
        <v>0</v>
      </c>
      <c r="F17" s="29"/>
      <c r="G17" s="26" t="s">
        <v>21</v>
      </c>
      <c r="H17" s="27"/>
      <c r="I17" s="27"/>
      <c r="J17" s="28">
        <f>Table2[Projected Cost]-Table2[Actual Cost]</f>
        <v>0</v>
      </c>
    </row>
    <row r="18" spans="1:10" ht="15.75" customHeight="1">
      <c r="A18" s="2"/>
      <c r="B18" s="22" t="s">
        <v>35</v>
      </c>
      <c r="C18" s="31">
        <f>SUBTOTAL(109,Table1[Projected Cost])</f>
        <v>1100</v>
      </c>
      <c r="D18" s="31">
        <f>SUBTOTAL(109,Table1[Actual Cost])</f>
        <v>1210</v>
      </c>
      <c r="E18" s="33">
        <f>SUBTOTAL(109,Table1[Difference])</f>
        <v>-110</v>
      </c>
      <c r="F18" s="29"/>
      <c r="G18" s="30" t="s">
        <v>42</v>
      </c>
      <c r="H18" s="31">
        <v>50</v>
      </c>
      <c r="I18" s="31">
        <v>75</v>
      </c>
      <c r="J18" s="32">
        <f>Table2[Projected Cost]-Table2[Actual Cost]</f>
        <v>-25</v>
      </c>
    </row>
    <row r="19" spans="1:10" ht="15.75" customHeight="1">
      <c r="A19" s="2"/>
      <c r="B19" s="56"/>
      <c r="C19" s="56"/>
      <c r="D19" s="56"/>
      <c r="E19" s="56"/>
      <c r="F19" s="29"/>
      <c r="G19" s="26" t="s">
        <v>47</v>
      </c>
      <c r="H19" s="27"/>
      <c r="I19" s="27"/>
      <c r="J19" s="28">
        <f>Table2[Projected Cost]-Table2[Actual Cost]</f>
        <v>0</v>
      </c>
    </row>
    <row r="20" spans="1:10" ht="15.75" customHeight="1">
      <c r="A20" s="2"/>
      <c r="B20" s="22" t="s">
        <v>27</v>
      </c>
      <c r="C20" s="23" t="s">
        <v>0</v>
      </c>
      <c r="D20" s="23" t="s">
        <v>1</v>
      </c>
      <c r="E20" s="24" t="s">
        <v>2</v>
      </c>
      <c r="F20" s="29"/>
      <c r="G20" s="30" t="s">
        <v>8</v>
      </c>
      <c r="H20" s="31"/>
      <c r="I20" s="31"/>
      <c r="J20" s="32">
        <f>Table2[Projected Cost]-Table2[Actual Cost]</f>
        <v>0</v>
      </c>
    </row>
    <row r="21" spans="1:10" ht="15.75" customHeight="1">
      <c r="A21" s="2"/>
      <c r="B21" s="26" t="s">
        <v>20</v>
      </c>
      <c r="C21" s="27">
        <v>250</v>
      </c>
      <c r="D21" s="27">
        <v>250</v>
      </c>
      <c r="E21" s="28">
        <f>Table3[Projected Cost]-Table3[Actual Cost]</f>
        <v>0</v>
      </c>
      <c r="F21" s="29"/>
      <c r="G21" s="26" t="s">
        <v>8</v>
      </c>
      <c r="H21" s="27"/>
      <c r="I21" s="27"/>
      <c r="J21" s="28">
        <f>Table2[Projected Cost]-Table2[Actual Cost]</f>
        <v>0</v>
      </c>
    </row>
    <row r="22" spans="1:10" ht="15.75" customHeight="1">
      <c r="A22" s="2"/>
      <c r="B22" s="30" t="s">
        <v>51</v>
      </c>
      <c r="C22" s="31"/>
      <c r="D22" s="31"/>
      <c r="E22" s="32">
        <f>Table3[Projected Cost]-Table3[Actual Cost]</f>
        <v>0</v>
      </c>
      <c r="F22" s="29"/>
      <c r="G22" s="22" t="s">
        <v>35</v>
      </c>
      <c r="H22" s="34">
        <f>SUBTOTAL(109,Table2[Projected Cost])</f>
        <v>95</v>
      </c>
      <c r="I22" s="31">
        <f>SUBTOTAL(109,Table2[Actual Cost])</f>
        <v>170</v>
      </c>
      <c r="J22" s="33">
        <f>SUBTOTAL(109,Table2[Difference])</f>
        <v>-75</v>
      </c>
    </row>
    <row r="23" spans="1:10" ht="15.75" customHeight="1">
      <c r="A23" s="2"/>
      <c r="B23" s="26" t="s">
        <v>9</v>
      </c>
      <c r="C23" s="27"/>
      <c r="D23" s="27"/>
      <c r="E23" s="28">
        <f>Table3[Projected Cost]-Table3[Actual Cost]</f>
        <v>0</v>
      </c>
      <c r="F23" s="29"/>
      <c r="G23" s="67"/>
      <c r="H23" s="67"/>
      <c r="I23" s="67"/>
      <c r="J23" s="67"/>
    </row>
    <row r="24" spans="1:10" ht="15.75" customHeight="1">
      <c r="A24" s="2"/>
      <c r="B24" s="30" t="s">
        <v>5</v>
      </c>
      <c r="C24" s="31">
        <v>50</v>
      </c>
      <c r="D24" s="31">
        <v>60</v>
      </c>
      <c r="E24" s="32">
        <f>Table3[Projected Cost]-Table3[Actual Cost]</f>
        <v>-10</v>
      </c>
      <c r="F24" s="29"/>
      <c r="G24" s="22" t="s">
        <v>26</v>
      </c>
      <c r="H24" s="23" t="s">
        <v>0</v>
      </c>
      <c r="I24" s="23" t="s">
        <v>1</v>
      </c>
      <c r="J24" s="24" t="s">
        <v>2</v>
      </c>
    </row>
    <row r="25" spans="1:10" ht="15.75" customHeight="1">
      <c r="A25" s="2"/>
      <c r="B25" s="26" t="s">
        <v>10</v>
      </c>
      <c r="C25" s="27"/>
      <c r="D25" s="27"/>
      <c r="E25" s="28">
        <f>Table3[Projected Cost]-Table3[Actual Cost]</f>
        <v>0</v>
      </c>
      <c r="F25" s="29"/>
      <c r="G25" s="26" t="s">
        <v>43</v>
      </c>
      <c r="H25" s="27">
        <v>400</v>
      </c>
      <c r="I25" s="27">
        <v>400</v>
      </c>
      <c r="J25" s="28">
        <f>Table8[Projected Cost]-Table8[Actual Cost]</f>
        <v>0</v>
      </c>
    </row>
    <row r="26" spans="1:10" ht="15.75" customHeight="1">
      <c r="A26" s="2"/>
      <c r="B26" s="30" t="s">
        <v>8</v>
      </c>
      <c r="C26" s="31"/>
      <c r="D26" s="31"/>
      <c r="E26" s="32">
        <f>Table3[Projected Cost]-Table3[Actual Cost]</f>
        <v>0</v>
      </c>
      <c r="F26" s="29"/>
      <c r="G26" s="30" t="s">
        <v>44</v>
      </c>
      <c r="H26" s="31"/>
      <c r="I26" s="31"/>
      <c r="J26" s="32">
        <f>Table8[Projected Cost]-Table8[Actual Cost]</f>
        <v>0</v>
      </c>
    </row>
    <row r="27" spans="1:10" ht="15.75" customHeight="1">
      <c r="A27" s="2"/>
      <c r="B27" s="22" t="s">
        <v>35</v>
      </c>
      <c r="C27" s="31">
        <f>SUBTOTAL(109,Table3[Projected Cost])</f>
        <v>300</v>
      </c>
      <c r="D27" s="31">
        <f>SUBTOTAL(109,Table3[Actual Cost])</f>
        <v>310</v>
      </c>
      <c r="E27" s="33">
        <f>SUBTOTAL(109,Table3[Difference])</f>
        <v>-10</v>
      </c>
      <c r="F27" s="29"/>
      <c r="G27" s="26" t="s">
        <v>22</v>
      </c>
      <c r="H27" s="27"/>
      <c r="I27" s="27"/>
      <c r="J27" s="28">
        <f>Table8[Projected Cost]-Table8[Actual Cost]</f>
        <v>0</v>
      </c>
    </row>
    <row r="28" spans="1:10" ht="15.75" customHeight="1">
      <c r="A28" s="2"/>
      <c r="B28" s="56"/>
      <c r="C28" s="56"/>
      <c r="D28" s="56"/>
      <c r="E28" s="56"/>
      <c r="F28" s="29"/>
      <c r="G28" s="30" t="s">
        <v>22</v>
      </c>
      <c r="H28" s="31"/>
      <c r="I28" s="31"/>
      <c r="J28" s="32">
        <f>Table8[Projected Cost]-Table8[Actual Cost]</f>
        <v>0</v>
      </c>
    </row>
    <row r="29" spans="1:10" ht="15.75" customHeight="1">
      <c r="A29" s="2"/>
      <c r="B29" s="22" t="s">
        <v>36</v>
      </c>
      <c r="C29" s="23" t="s">
        <v>0</v>
      </c>
      <c r="D29" s="23" t="s">
        <v>1</v>
      </c>
      <c r="E29" s="24" t="s">
        <v>2</v>
      </c>
      <c r="F29" s="29"/>
      <c r="G29" s="26" t="s">
        <v>22</v>
      </c>
      <c r="H29" s="27">
        <v>100</v>
      </c>
      <c r="I29" s="27">
        <v>100</v>
      </c>
      <c r="J29" s="28">
        <f>Table8[Projected Cost]-Table8[Actual Cost]</f>
        <v>0</v>
      </c>
    </row>
    <row r="30" spans="1:10" ht="15.75" customHeight="1">
      <c r="A30" s="2"/>
      <c r="B30" s="26" t="s">
        <v>5</v>
      </c>
      <c r="C30" s="27">
        <v>50</v>
      </c>
      <c r="D30" s="27">
        <v>50</v>
      </c>
      <c r="E30" s="28">
        <f>Table4[Projected Cost]-Table4[Actual Cost]</f>
        <v>0</v>
      </c>
      <c r="F30" s="29"/>
      <c r="G30" s="30" t="s">
        <v>8</v>
      </c>
      <c r="H30" s="31"/>
      <c r="I30" s="31"/>
      <c r="J30" s="32">
        <f>Table8[Projected Cost]-Table8[Actual Cost]</f>
        <v>0</v>
      </c>
    </row>
    <row r="31" spans="1:10" ht="15.75" customHeight="1">
      <c r="A31" s="2"/>
      <c r="B31" s="30" t="s">
        <v>38</v>
      </c>
      <c r="C31" s="31">
        <v>100</v>
      </c>
      <c r="D31" s="31">
        <v>110</v>
      </c>
      <c r="E31" s="32">
        <f>Table4[Projected Cost]-Table4[Actual Cost]</f>
        <v>-10</v>
      </c>
      <c r="F31" s="29"/>
      <c r="G31" s="22" t="s">
        <v>35</v>
      </c>
      <c r="H31" s="31">
        <f>SUBTOTAL(109,Table8[Projected Cost])</f>
        <v>500</v>
      </c>
      <c r="I31" s="31">
        <f>SUBTOTAL(109,Table8[Actual Cost])</f>
        <v>500</v>
      </c>
      <c r="J31" s="33">
        <f>SUBTOTAL(109,Table8[Difference])</f>
        <v>0</v>
      </c>
    </row>
    <row r="32" spans="1:10" ht="15.75" customHeight="1">
      <c r="A32" s="2"/>
      <c r="B32" s="26" t="s">
        <v>39</v>
      </c>
      <c r="C32" s="27"/>
      <c r="D32" s="27"/>
      <c r="E32" s="28">
        <f>Table4[Projected Cost]-Table4[Actual Cost]</f>
        <v>0</v>
      </c>
      <c r="F32" s="29"/>
      <c r="G32" s="56"/>
      <c r="H32" s="56"/>
      <c r="I32" s="56"/>
      <c r="J32" s="56"/>
    </row>
    <row r="33" spans="1:10" ht="15.75" customHeight="1">
      <c r="A33" s="2"/>
      <c r="B33" s="30" t="s">
        <v>19</v>
      </c>
      <c r="C33" s="31"/>
      <c r="D33" s="31"/>
      <c r="E33" s="32">
        <f>Table4[Projected Cost]-Table4[Actual Cost]</f>
        <v>0</v>
      </c>
      <c r="F33" s="29"/>
      <c r="G33" s="22" t="s">
        <v>28</v>
      </c>
      <c r="H33" s="23" t="s">
        <v>0</v>
      </c>
      <c r="I33" s="23" t="s">
        <v>1</v>
      </c>
      <c r="J33" s="24" t="s">
        <v>2</v>
      </c>
    </row>
    <row r="34" spans="1:10" ht="15.75" customHeight="1">
      <c r="A34" s="2"/>
      <c r="B34" s="22" t="s">
        <v>35</v>
      </c>
      <c r="C34" s="31">
        <f>SUBTOTAL(109,Table4[Projected Cost])</f>
        <v>150</v>
      </c>
      <c r="D34" s="31">
        <f>SUBTOTAL(109,Table4[Actual Cost])</f>
        <v>160</v>
      </c>
      <c r="E34" s="33">
        <f>SUBTOTAL(109,Table4[Difference])</f>
        <v>-10</v>
      </c>
      <c r="F34" s="29"/>
      <c r="G34" s="26" t="s">
        <v>15</v>
      </c>
      <c r="H34" s="27">
        <v>25</v>
      </c>
      <c r="I34" s="27">
        <v>25</v>
      </c>
      <c r="J34" s="28">
        <f>Table9[Projected Cost]-Table9[Actual Cost]</f>
        <v>0</v>
      </c>
    </row>
    <row r="35" spans="1:10" ht="15.75" customHeight="1">
      <c r="A35" s="2"/>
      <c r="B35" s="56"/>
      <c r="C35" s="56"/>
      <c r="D35" s="56"/>
      <c r="E35" s="56"/>
      <c r="F35" s="29"/>
      <c r="G35" s="30" t="s">
        <v>16</v>
      </c>
      <c r="H35" s="31"/>
      <c r="I35" s="31"/>
      <c r="J35" s="32">
        <f>Table9[Projected Cost]-Table9[Actual Cost]</f>
        <v>0</v>
      </c>
    </row>
    <row r="36" spans="1:10" ht="15.75" customHeight="1">
      <c r="A36" s="2"/>
      <c r="B36" s="22" t="s">
        <v>29</v>
      </c>
      <c r="C36" s="23" t="s">
        <v>0</v>
      </c>
      <c r="D36" s="23" t="s">
        <v>1</v>
      </c>
      <c r="E36" s="24" t="s">
        <v>2</v>
      </c>
      <c r="F36" s="29"/>
      <c r="G36" s="26" t="s">
        <v>17</v>
      </c>
      <c r="H36" s="27"/>
      <c r="I36" s="27"/>
      <c r="J36" s="28">
        <f>Table9[Projected Cost]-Table9[Actual Cost]</f>
        <v>0</v>
      </c>
    </row>
    <row r="37" spans="1:10" ht="15.75" customHeight="1">
      <c r="A37" s="2"/>
      <c r="B37" s="26" t="s">
        <v>11</v>
      </c>
      <c r="C37" s="27">
        <v>500</v>
      </c>
      <c r="D37" s="27">
        <v>400</v>
      </c>
      <c r="E37" s="28">
        <f>Table5[Projected Cost]-Table5[Actual Cost]</f>
        <v>100</v>
      </c>
      <c r="F37" s="29"/>
      <c r="G37" s="30" t="s">
        <v>8</v>
      </c>
      <c r="H37" s="31"/>
      <c r="I37" s="31"/>
      <c r="J37" s="32">
        <f>Table9[Projected Cost]-Table9[Actual Cost]</f>
        <v>0</v>
      </c>
    </row>
    <row r="38" spans="1:10" ht="15.75" customHeight="1">
      <c r="A38" s="2"/>
      <c r="B38" s="30" t="s">
        <v>8</v>
      </c>
      <c r="C38" s="31"/>
      <c r="D38" s="31"/>
      <c r="E38" s="32">
        <f>Table5[Projected Cost]-Table5[Actual Cost]</f>
        <v>0</v>
      </c>
      <c r="F38" s="29"/>
      <c r="G38" s="22" t="s">
        <v>35</v>
      </c>
      <c r="H38" s="31">
        <f>SUBTOTAL(109,Table9[Projected Cost])</f>
        <v>25</v>
      </c>
      <c r="I38" s="31">
        <f>SUBTOTAL(109,Table9[Actual Cost])</f>
        <v>25</v>
      </c>
      <c r="J38" s="33">
        <f>SUBTOTAL(109,Table9[Difference])</f>
        <v>0</v>
      </c>
    </row>
    <row r="39" spans="1:10" ht="15.75" customHeight="1">
      <c r="A39" s="2"/>
      <c r="B39" s="22" t="s">
        <v>35</v>
      </c>
      <c r="C39" s="31">
        <f>SUBTOTAL(109,Table5[Projected Cost])</f>
        <v>500</v>
      </c>
      <c r="D39" s="31">
        <f>SUBTOTAL(109,Table5[Actual Cost])</f>
        <v>400</v>
      </c>
      <c r="E39" s="33">
        <f>SUBTOTAL(109,Table5[Difference])</f>
        <v>100</v>
      </c>
      <c r="F39" s="29"/>
      <c r="G39" s="56"/>
      <c r="H39" s="56"/>
      <c r="I39" s="56"/>
      <c r="J39" s="56"/>
    </row>
    <row r="40" spans="1:10" ht="15.75" customHeight="1">
      <c r="A40" s="2"/>
      <c r="B40" s="56"/>
      <c r="C40" s="56"/>
      <c r="D40" s="56"/>
      <c r="E40" s="56"/>
      <c r="F40" s="29"/>
      <c r="G40" s="22" t="s">
        <v>30</v>
      </c>
      <c r="H40" s="23" t="s">
        <v>0</v>
      </c>
      <c r="I40" s="23" t="s">
        <v>1</v>
      </c>
      <c r="J40" s="24" t="s">
        <v>2</v>
      </c>
    </row>
    <row r="41" spans="1:10" ht="15.75" customHeight="1">
      <c r="A41" s="2"/>
      <c r="B41" s="22" t="s">
        <v>48</v>
      </c>
      <c r="C41" s="23" t="s">
        <v>0</v>
      </c>
      <c r="D41" s="23" t="s">
        <v>1</v>
      </c>
      <c r="E41" s="24" t="s">
        <v>2</v>
      </c>
      <c r="F41" s="29"/>
      <c r="G41" s="26" t="s">
        <v>23</v>
      </c>
      <c r="H41" s="27"/>
      <c r="I41" s="27"/>
      <c r="J41" s="28">
        <f>Table10[Projected Cost]-Table10[Actual Cost]</f>
        <v>0</v>
      </c>
    </row>
    <row r="42" spans="1:10" ht="15.75" customHeight="1">
      <c r="A42" s="2"/>
      <c r="B42" s="26" t="s">
        <v>45</v>
      </c>
      <c r="C42" s="27">
        <v>50</v>
      </c>
      <c r="D42" s="27">
        <v>50</v>
      </c>
      <c r="E42" s="28">
        <f>Table6[Projected Cost]-Table6[Actual Cost]</f>
        <v>0</v>
      </c>
      <c r="F42" s="29"/>
      <c r="G42" s="30" t="s">
        <v>24</v>
      </c>
      <c r="H42" s="31"/>
      <c r="I42" s="31"/>
      <c r="J42" s="32">
        <f>Table10[Projected Cost]-Table10[Actual Cost]</f>
        <v>0</v>
      </c>
    </row>
    <row r="43" spans="1:10" ht="15.75" customHeight="1">
      <c r="A43" s="2"/>
      <c r="B43" s="30" t="s">
        <v>46</v>
      </c>
      <c r="C43" s="31"/>
      <c r="D43" s="31"/>
      <c r="E43" s="32">
        <f>Table6[Projected Cost]-Table6[Actual Cost]</f>
        <v>0</v>
      </c>
      <c r="F43" s="29"/>
      <c r="G43" s="26" t="s">
        <v>63</v>
      </c>
      <c r="H43" s="27">
        <v>1000</v>
      </c>
      <c r="I43" s="27">
        <v>250</v>
      </c>
      <c r="J43" s="28">
        <f>Table10[Projected Cost]-Table10[Actual Cost]</f>
        <v>750</v>
      </c>
    </row>
    <row r="44" spans="1:10" ht="15.75" customHeight="1">
      <c r="A44" s="2"/>
      <c r="B44" s="26" t="s">
        <v>49</v>
      </c>
      <c r="C44" s="27">
        <v>25</v>
      </c>
      <c r="D44" s="27">
        <f>25+30</f>
        <v>55</v>
      </c>
      <c r="E44" s="28">
        <f>Table6[Projected Cost]-Table6[Actual Cost]</f>
        <v>-30</v>
      </c>
      <c r="F44" s="29"/>
      <c r="G44" s="22" t="s">
        <v>35</v>
      </c>
      <c r="H44" s="31">
        <f>SUBTOTAL(109,Table10[Projected Cost])</f>
        <v>1000</v>
      </c>
      <c r="I44" s="31">
        <f>SUBTOTAL(109,Table10[Actual Cost])</f>
        <v>250</v>
      </c>
      <c r="J44" s="33">
        <f>SUBTOTAL(109,Table10[Difference])</f>
        <v>750</v>
      </c>
    </row>
    <row r="45" spans="1:10" ht="15.75" customHeight="1">
      <c r="A45" s="2"/>
      <c r="B45" s="30" t="s">
        <v>50</v>
      </c>
      <c r="C45" s="31">
        <v>50</v>
      </c>
      <c r="D45" s="31">
        <v>100</v>
      </c>
      <c r="E45" s="32">
        <f>Table6[Projected Cost]-Table6[Actual Cost]</f>
        <v>-50</v>
      </c>
      <c r="F45" s="29"/>
      <c r="G45" s="56"/>
      <c r="H45" s="56"/>
      <c r="I45" s="56"/>
      <c r="J45" s="56"/>
    </row>
    <row r="46" spans="1:10" ht="15.75" customHeight="1">
      <c r="A46" s="2"/>
      <c r="B46" s="26" t="s">
        <v>8</v>
      </c>
      <c r="C46" s="27"/>
      <c r="D46" s="27"/>
      <c r="E46" s="28">
        <f>Table6[Projected Cost]-Table6[Actual Cost]</f>
        <v>0</v>
      </c>
      <c r="F46" s="29"/>
      <c r="G46" s="22" t="s">
        <v>53</v>
      </c>
      <c r="H46" s="23" t="s">
        <v>0</v>
      </c>
      <c r="I46" s="23" t="s">
        <v>1</v>
      </c>
      <c r="J46" s="24" t="s">
        <v>2</v>
      </c>
    </row>
    <row r="47" spans="1:10" ht="15.75" customHeight="1">
      <c r="A47" s="2"/>
      <c r="B47" s="22" t="s">
        <v>35</v>
      </c>
      <c r="C47" s="31">
        <f>SUBTOTAL(109,Table6[Projected Cost])</f>
        <v>125</v>
      </c>
      <c r="D47" s="31">
        <f>SUBTOTAL(109,Table6[Actual Cost])</f>
        <v>205</v>
      </c>
      <c r="E47" s="33">
        <f>SUBTOTAL(109,Table6[Difference])</f>
        <v>-80</v>
      </c>
      <c r="F47" s="29"/>
      <c r="G47" s="26" t="s">
        <v>9</v>
      </c>
      <c r="H47" s="27"/>
      <c r="I47" s="27"/>
      <c r="J47" s="28">
        <f>Table11[Projected Cost]-Table11[Actual Cost]</f>
        <v>0</v>
      </c>
    </row>
    <row r="48" spans="1:10" ht="15.75" customHeight="1">
      <c r="A48" s="2"/>
      <c r="B48" s="56"/>
      <c r="C48" s="56"/>
      <c r="D48" s="56"/>
      <c r="E48" s="56"/>
      <c r="F48" s="29"/>
      <c r="G48" s="30" t="s">
        <v>57</v>
      </c>
      <c r="H48" s="31"/>
      <c r="I48" s="31"/>
      <c r="J48" s="32">
        <f>Table11[Projected Cost]-Table11[Actual Cost]</f>
        <v>0</v>
      </c>
    </row>
    <row r="49" spans="1:10" ht="15.75" customHeight="1">
      <c r="A49" s="2"/>
      <c r="B49" s="22" t="s">
        <v>31</v>
      </c>
      <c r="C49" s="23" t="s">
        <v>0</v>
      </c>
      <c r="D49" s="23" t="s">
        <v>1</v>
      </c>
      <c r="E49" s="24" t="s">
        <v>2</v>
      </c>
      <c r="F49" s="29"/>
      <c r="G49" s="26" t="s">
        <v>58</v>
      </c>
      <c r="H49" s="27">
        <v>75</v>
      </c>
      <c r="I49" s="27">
        <v>50</v>
      </c>
      <c r="J49" s="28">
        <f>Table11[Projected Cost]-Table11[Actual Cost]</f>
        <v>25</v>
      </c>
    </row>
    <row r="50" spans="1:10" ht="15.75" customHeight="1">
      <c r="A50" s="2"/>
      <c r="B50" s="26" t="s">
        <v>55</v>
      </c>
      <c r="C50" s="27">
        <v>15</v>
      </c>
      <c r="D50" s="27">
        <v>25</v>
      </c>
      <c r="E50" s="28">
        <f>Table7[Projected Cost]-Table7[Actual Cost]</f>
        <v>-10</v>
      </c>
      <c r="F50" s="29"/>
      <c r="G50" s="22" t="s">
        <v>35</v>
      </c>
      <c r="H50" s="31">
        <f>SUBTOTAL(109,Table11[Projected Cost])</f>
        <v>75</v>
      </c>
      <c r="I50" s="31">
        <f>SUBTOTAL(109,Table11[Actual Cost])</f>
        <v>50</v>
      </c>
      <c r="J50" s="33">
        <f>SUBTOTAL(109,Table11[Difference])</f>
        <v>25</v>
      </c>
    </row>
    <row r="51" spans="1:10" ht="15.75" customHeight="1">
      <c r="A51" s="2"/>
      <c r="B51" s="30" t="s">
        <v>56</v>
      </c>
      <c r="C51" s="31">
        <v>10</v>
      </c>
      <c r="D51" s="31">
        <v>20</v>
      </c>
      <c r="E51" s="32">
        <f>Table7[Projected Cost]-Table7[Actual Cost]</f>
        <v>-10</v>
      </c>
      <c r="F51" s="29"/>
      <c r="G51" s="56"/>
      <c r="H51" s="56"/>
      <c r="I51" s="56"/>
      <c r="J51" s="56"/>
    </row>
    <row r="52" spans="1:10" ht="15.75" customHeight="1">
      <c r="A52" s="2"/>
      <c r="B52" s="26" t="s">
        <v>12</v>
      </c>
      <c r="C52" s="27"/>
      <c r="D52" s="27"/>
      <c r="E52" s="28">
        <f>Table7[Projected Cost]-Table7[Actual Cost]</f>
        <v>0</v>
      </c>
      <c r="F52" s="29"/>
      <c r="G52" s="22" t="s">
        <v>59</v>
      </c>
      <c r="H52" s="23" t="s">
        <v>0</v>
      </c>
      <c r="I52" s="23" t="s">
        <v>1</v>
      </c>
      <c r="J52" s="24" t="s">
        <v>2</v>
      </c>
    </row>
    <row r="53" spans="1:10" ht="15.75" customHeight="1">
      <c r="A53" s="2"/>
      <c r="B53" s="30" t="s">
        <v>54</v>
      </c>
      <c r="C53" s="31">
        <v>25</v>
      </c>
      <c r="D53" s="31">
        <v>15</v>
      </c>
      <c r="E53" s="32">
        <f>Table7[Projected Cost]-Table7[Actual Cost]</f>
        <v>10</v>
      </c>
      <c r="F53" s="29"/>
      <c r="G53" s="26" t="s">
        <v>60</v>
      </c>
      <c r="H53" s="27">
        <v>50</v>
      </c>
      <c r="I53" s="27">
        <v>50</v>
      </c>
      <c r="J53" s="28">
        <f>Table12[Projected Cost]-Table12[Actual Cost]</f>
        <v>0</v>
      </c>
    </row>
    <row r="54" spans="1:10" ht="15.75" customHeight="1">
      <c r="A54" s="2"/>
      <c r="B54" s="26" t="s">
        <v>52</v>
      </c>
      <c r="C54" s="27">
        <v>30</v>
      </c>
      <c r="D54" s="27">
        <v>29</v>
      </c>
      <c r="E54" s="28">
        <f>Table7[Projected Cost]-Table7[Actual Cost]</f>
        <v>1</v>
      </c>
      <c r="F54" s="29"/>
      <c r="G54" s="30" t="s">
        <v>61</v>
      </c>
      <c r="H54" s="31"/>
      <c r="I54" s="31"/>
      <c r="J54" s="32">
        <f>Table12[Projected Cost]-Table12[Actual Cost]</f>
        <v>0</v>
      </c>
    </row>
    <row r="55" spans="1:10" ht="15.75" customHeight="1">
      <c r="A55" s="2"/>
      <c r="B55" s="30" t="s">
        <v>8</v>
      </c>
      <c r="C55" s="31"/>
      <c r="D55" s="31"/>
      <c r="E55" s="32">
        <f>Table7[Projected Cost]-Table7[Actual Cost]</f>
        <v>0</v>
      </c>
      <c r="F55" s="29"/>
      <c r="G55" s="26" t="s">
        <v>62</v>
      </c>
      <c r="H55" s="27"/>
      <c r="I55" s="27"/>
      <c r="J55" s="28">
        <f>Table12[Projected Cost]-Table12[Actual Cost]</f>
        <v>0</v>
      </c>
    </row>
    <row r="56" spans="1:10" ht="15.75" customHeight="1">
      <c r="A56" s="2"/>
      <c r="B56" s="26" t="s">
        <v>8</v>
      </c>
      <c r="C56" s="27"/>
      <c r="D56" s="27"/>
      <c r="E56" s="28">
        <f>Table7[Projected Cost]-Table7[Actual Cost]</f>
        <v>0</v>
      </c>
      <c r="F56" s="29"/>
      <c r="G56" s="30" t="s">
        <v>8</v>
      </c>
      <c r="H56" s="31"/>
      <c r="I56" s="31"/>
      <c r="J56" s="32">
        <f>Table12[Projected Cost]-Table12[Actual Cost]</f>
        <v>0</v>
      </c>
    </row>
    <row r="57" spans="1:10" ht="15.75" customHeight="1">
      <c r="A57" s="2"/>
      <c r="B57" s="22" t="s">
        <v>35</v>
      </c>
      <c r="C57" s="31">
        <f>SUBTOTAL(109,Table7[Projected Cost])</f>
        <v>80</v>
      </c>
      <c r="D57" s="31">
        <f>SUBTOTAL(109,Table7[Actual Cost])</f>
        <v>89</v>
      </c>
      <c r="E57" s="33">
        <f>SUBTOTAL(109,Table7[Difference])</f>
        <v>-9</v>
      </c>
      <c r="F57" s="29"/>
      <c r="G57" s="22" t="s">
        <v>35</v>
      </c>
      <c r="H57" s="31">
        <f>SUBTOTAL(109,Table12[Projected Cost])</f>
        <v>50</v>
      </c>
      <c r="I57" s="31">
        <f>SUBTOTAL(109,Table12[Actual Cost])</f>
        <v>50</v>
      </c>
      <c r="J57" s="33">
        <f>SUBTOTAL(109,Table12[Difference])</f>
        <v>0</v>
      </c>
    </row>
    <row r="58" spans="1:10" ht="15.75" customHeight="1">
      <c r="A58" s="2"/>
      <c r="B58" s="35"/>
      <c r="C58" s="35"/>
      <c r="D58" s="35"/>
      <c r="E58" s="35"/>
      <c r="F58" s="29"/>
      <c r="G58" s="57"/>
      <c r="H58" s="57"/>
      <c r="I58" s="57"/>
      <c r="J58" s="57"/>
    </row>
    <row r="59" spans="1:10" ht="27" customHeight="1">
      <c r="A59" s="2"/>
      <c r="B59" s="35"/>
      <c r="C59" s="35"/>
      <c r="D59" s="35"/>
      <c r="E59" s="35"/>
      <c r="F59" s="36"/>
      <c r="G59" s="37" t="s">
        <v>33</v>
      </c>
      <c r="H59" s="38"/>
      <c r="I59" s="39"/>
      <c r="J59" s="40">
        <f>SUM(C18,C27,C34,C39,C47,C57,H22,H31,H38,H44,H50,H57)</f>
        <v>4000</v>
      </c>
    </row>
    <row r="60" spans="1:10" ht="31.5" customHeight="1">
      <c r="A60" s="2"/>
      <c r="B60" s="35"/>
      <c r="C60" s="35"/>
      <c r="D60" s="35"/>
      <c r="E60" s="35"/>
      <c r="F60" s="36"/>
      <c r="G60" s="37" t="s">
        <v>69</v>
      </c>
      <c r="H60" s="38"/>
      <c r="I60" s="39"/>
      <c r="J60" s="40">
        <f>SUM(D18,D27,D34,D39,D47,D57,I22,I31,I38,I44,I50,I57)</f>
        <v>3419</v>
      </c>
    </row>
    <row r="61" spans="1:10" ht="29.25" customHeight="1">
      <c r="A61" s="2"/>
      <c r="B61" s="35"/>
      <c r="C61" s="35"/>
      <c r="D61" s="35"/>
      <c r="E61" s="35"/>
      <c r="F61" s="36"/>
      <c r="G61" s="37" t="s">
        <v>34</v>
      </c>
      <c r="H61" s="38"/>
      <c r="I61" s="39"/>
      <c r="J61" s="40">
        <f>SUM(E18,E27,E34,E39,E47,E57,J22,J31,J38,J44,J50,J57)</f>
        <v>581</v>
      </c>
    </row>
    <row r="62" spans="1:10" ht="15.75" customHeight="1">
      <c r="A62" s="2"/>
      <c r="B62" s="35"/>
      <c r="C62" s="35"/>
      <c r="D62" s="35"/>
      <c r="E62" s="35"/>
      <c r="F62" s="36"/>
      <c r="G62" s="35"/>
      <c r="H62" s="35"/>
      <c r="I62" s="35"/>
      <c r="J62" s="35"/>
    </row>
    <row r="63" spans="1:10" ht="15.75" customHeight="1">
      <c r="B63" s="35"/>
      <c r="C63" s="35"/>
      <c r="D63" s="35"/>
      <c r="E63" s="35"/>
      <c r="F63" s="35"/>
      <c r="G63" s="41" t="s">
        <v>65</v>
      </c>
      <c r="H63" s="42"/>
      <c r="I63" s="35"/>
      <c r="J63" s="35"/>
    </row>
    <row r="64" spans="1:10">
      <c r="B64" s="35"/>
      <c r="C64" s="35"/>
      <c r="D64" s="35"/>
      <c r="E64" s="35"/>
      <c r="F64" s="35"/>
      <c r="G64" s="43" t="str">
        <f>Table1[[#Headers],[HOME]]</f>
        <v>HOME</v>
      </c>
      <c r="H64" s="44">
        <f>Table1[[#Totals],[Actual Cost]]</f>
        <v>1210</v>
      </c>
      <c r="I64" s="35"/>
      <c r="J64" s="35"/>
    </row>
    <row r="65" spans="2:10">
      <c r="B65" s="35"/>
      <c r="C65" s="35"/>
      <c r="D65" s="35"/>
      <c r="E65" s="35"/>
      <c r="F65" s="35"/>
      <c r="G65" s="45" t="str">
        <f>Table3[[#Headers],[TRANSPORTATION]]</f>
        <v>TRANSPORTATION</v>
      </c>
      <c r="H65" s="46">
        <f>Table3[[#Totals],[Actual Cost]]</f>
        <v>310</v>
      </c>
      <c r="I65" s="35"/>
      <c r="J65" s="35"/>
    </row>
    <row r="66" spans="2:10">
      <c r="B66" s="35"/>
      <c r="C66" s="35"/>
      <c r="D66" s="35"/>
      <c r="E66" s="35"/>
      <c r="F66" s="35"/>
      <c r="G66" s="41" t="str">
        <f>Table4[[#Headers],[UTILITIES]]</f>
        <v>UTILITIES</v>
      </c>
      <c r="H66" s="42">
        <f>Table4[[#Totals],[Actual Cost]]</f>
        <v>160</v>
      </c>
      <c r="I66" s="35"/>
      <c r="J66" s="35"/>
    </row>
    <row r="67" spans="2:10">
      <c r="B67" s="35"/>
      <c r="C67" s="35"/>
      <c r="D67" s="35"/>
      <c r="E67" s="35"/>
      <c r="F67" s="35"/>
      <c r="G67" s="43" t="str">
        <f>Table5[[#Headers],[FOOD]]</f>
        <v>FOOD</v>
      </c>
      <c r="H67" s="44">
        <f>Table5[[#Totals],[Actual Cost]]</f>
        <v>400</v>
      </c>
      <c r="I67" s="35"/>
      <c r="J67" s="35"/>
    </row>
    <row r="68" spans="2:10">
      <c r="B68" s="35"/>
      <c r="C68" s="35"/>
      <c r="D68" s="35"/>
      <c r="E68" s="35"/>
      <c r="F68" s="35"/>
      <c r="G68" s="45" t="str">
        <f>Table6[[#Headers],[CONNECTIONS]]</f>
        <v>CONNECTIONS</v>
      </c>
      <c r="H68" s="46">
        <f>Table6[[#Totals],[Actual Cost]]</f>
        <v>205</v>
      </c>
      <c r="I68" s="35"/>
      <c r="J68" s="35"/>
    </row>
    <row r="69" spans="2:10">
      <c r="B69" s="35"/>
      <c r="C69" s="35"/>
      <c r="D69" s="35"/>
      <c r="E69" s="35"/>
      <c r="F69" s="35"/>
      <c r="G69" s="41" t="str">
        <f>Table7[[#Headers],[PERSONAL CARE]]</f>
        <v>PERSONAL CARE</v>
      </c>
      <c r="H69" s="42">
        <f>Table7[[#Totals],[Actual Cost]]</f>
        <v>89</v>
      </c>
      <c r="I69" s="35"/>
      <c r="J69" s="35"/>
    </row>
    <row r="70" spans="2:10">
      <c r="B70" s="35"/>
      <c r="C70" s="35"/>
      <c r="D70" s="35"/>
      <c r="E70" s="35"/>
      <c r="F70" s="35"/>
      <c r="G70" s="43" t="str">
        <f>Table2[[#Headers],[ENTERTAINMENT]]</f>
        <v>ENTERTAINMENT</v>
      </c>
      <c r="H70" s="44">
        <f>Table2[[#Totals],[Actual Cost]]</f>
        <v>170</v>
      </c>
      <c r="I70" s="35"/>
      <c r="J70" s="35"/>
    </row>
    <row r="71" spans="2:10">
      <c r="B71" s="35"/>
      <c r="C71" s="35"/>
      <c r="D71" s="35"/>
      <c r="E71" s="35"/>
      <c r="F71" s="35"/>
      <c r="G71" s="45" t="str">
        <f>Table8[[#Headers],[LOANS]]</f>
        <v>LOANS</v>
      </c>
      <c r="H71" s="46">
        <f>Table8[[#Totals],[Actual Cost]]</f>
        <v>500</v>
      </c>
      <c r="I71" s="35"/>
      <c r="J71" s="35"/>
    </row>
    <row r="72" spans="2:10">
      <c r="B72" s="35"/>
      <c r="C72" s="35"/>
      <c r="D72" s="35"/>
      <c r="E72" s="35"/>
      <c r="F72" s="35"/>
      <c r="G72" s="41" t="str">
        <f>Table9[[#Headers],[TAXES]]</f>
        <v>TAXES</v>
      </c>
      <c r="H72" s="42">
        <f>Table9[[#Totals],[Actual Cost]]</f>
        <v>25</v>
      </c>
      <c r="I72" s="35"/>
      <c r="J72" s="35"/>
    </row>
    <row r="73" spans="2:10">
      <c r="B73" s="35"/>
      <c r="C73" s="35"/>
      <c r="D73" s="35"/>
      <c r="E73" s="35"/>
      <c r="F73" s="35"/>
      <c r="G73" s="43" t="str">
        <f>Table10[[#Headers],[SAVINGS OR INVESTMENTS]]</f>
        <v>SAVINGS OR INVESTMENTS</v>
      </c>
      <c r="H73" s="44">
        <f>Table10[[#Totals],[Actual Cost]]</f>
        <v>250</v>
      </c>
      <c r="I73" s="35"/>
      <c r="J73" s="35"/>
    </row>
    <row r="74" spans="2:10">
      <c r="B74" s="35"/>
      <c r="C74" s="35"/>
      <c r="D74" s="35"/>
      <c r="E74" s="35"/>
      <c r="F74" s="35"/>
      <c r="G74" s="45" t="str">
        <f>Table11[[#Headers],[MEDICAL]]</f>
        <v>MEDICAL</v>
      </c>
      <c r="H74" s="46">
        <f>Table11[[#Totals],[Actual Cost]]</f>
        <v>50</v>
      </c>
      <c r="I74" s="35"/>
      <c r="J74" s="35"/>
    </row>
    <row r="75" spans="2:10">
      <c r="B75" s="35"/>
      <c r="C75" s="35"/>
      <c r="D75" s="35"/>
      <c r="E75" s="35"/>
      <c r="F75" s="35"/>
      <c r="G75" s="41" t="str">
        <f>Table12[[#Headers],[MISC]]</f>
        <v>MISC</v>
      </c>
      <c r="H75" s="42">
        <f>Table12[[#Totals],[Actual Cost]]</f>
        <v>50</v>
      </c>
      <c r="I75" s="35"/>
      <c r="J75" s="35"/>
    </row>
    <row r="76" spans="2:10">
      <c r="B76" s="35"/>
      <c r="C76" s="35"/>
      <c r="D76" s="35"/>
      <c r="E76" s="35"/>
      <c r="F76" s="35"/>
      <c r="G76" s="43" t="s">
        <v>35</v>
      </c>
      <c r="H76" s="44">
        <f>SUM(H64:H75)</f>
        <v>3419</v>
      </c>
      <c r="I76" s="35"/>
      <c r="J76" s="35"/>
    </row>
    <row r="77" spans="2:10">
      <c r="B77" s="35"/>
      <c r="C77" s="35"/>
      <c r="D77" s="35"/>
      <c r="E77" s="35"/>
      <c r="F77" s="35"/>
      <c r="G77" s="35"/>
      <c r="H77" s="35"/>
      <c r="I77" s="35"/>
      <c r="J77" s="35"/>
    </row>
  </sheetData>
  <mergeCells count="27">
    <mergeCell ref="G51:J51"/>
    <mergeCell ref="B48:E48"/>
    <mergeCell ref="G23:J23"/>
    <mergeCell ref="G32:J32"/>
    <mergeCell ref="G39:J39"/>
    <mergeCell ref="G45:J45"/>
    <mergeCell ref="G58:J58"/>
    <mergeCell ref="B2:J2"/>
    <mergeCell ref="G9:I10"/>
    <mergeCell ref="J9:J10"/>
    <mergeCell ref="C7:D7"/>
    <mergeCell ref="J4:J6"/>
    <mergeCell ref="C8:D8"/>
    <mergeCell ref="C10:D10"/>
    <mergeCell ref="C11:D11"/>
    <mergeCell ref="B8:B11"/>
    <mergeCell ref="B4:B7"/>
    <mergeCell ref="B3:D3"/>
    <mergeCell ref="G7:I8"/>
    <mergeCell ref="G4:I6"/>
    <mergeCell ref="J7:J8"/>
    <mergeCell ref="C4:D4"/>
    <mergeCell ref="C6:D6"/>
    <mergeCell ref="B19:E19"/>
    <mergeCell ref="B28:E28"/>
    <mergeCell ref="B35:E35"/>
    <mergeCell ref="B40:E40"/>
  </mergeCells>
  <phoneticPr fontId="1" type="noConversion"/>
  <conditionalFormatting sqref="J13:J22 E42:E47 E30:E34 E14:E18 E21:E27 E37:E39 E50:E57 J25:J31 J34:J38 J41:J44 J47:J50 J53:J57">
    <cfRule type="iconSet" priority="2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59999389629810485"/>
  </sheetPr>
  <dimension ref="A1:B17"/>
  <sheetViews>
    <sheetView workbookViewId="0">
      <selection activeCell="E33" sqref="E33"/>
    </sheetView>
  </sheetViews>
  <sheetFormatPr baseColWidth="10" defaultColWidth="8.83203125" defaultRowHeight="14" x14ac:dyDescent="0"/>
  <cols>
    <col min="1" max="1" width="35.5" bestFit="1" customWidth="1"/>
    <col min="2" max="2" width="10.5" bestFit="1" customWidth="1"/>
  </cols>
  <sheetData>
    <row r="1" spans="1:2" ht="23">
      <c r="A1" s="10" t="s">
        <v>86</v>
      </c>
    </row>
    <row r="3" spans="1:2" ht="16">
      <c r="A3" s="11" t="s">
        <v>88</v>
      </c>
      <c r="B3" s="11" t="s">
        <v>35</v>
      </c>
    </row>
    <row r="4" spans="1:2" ht="16">
      <c r="A4" s="11" t="s">
        <v>90</v>
      </c>
      <c r="B4" s="11">
        <f>'April 2015'!J60</f>
        <v>3419</v>
      </c>
    </row>
    <row r="5" spans="1:2" ht="16">
      <c r="A5" s="11" t="s">
        <v>91</v>
      </c>
      <c r="B5" s="11">
        <f>'May 2015'!J60</f>
        <v>3364</v>
      </c>
    </row>
    <row r="6" spans="1:2" ht="16">
      <c r="A6" s="11" t="s">
        <v>92</v>
      </c>
      <c r="B6" s="11">
        <f>'June 2015'!J60</f>
        <v>4564</v>
      </c>
    </row>
    <row r="7" spans="1:2" ht="16">
      <c r="A7" s="11" t="s">
        <v>93</v>
      </c>
      <c r="B7" s="11">
        <f>'July 2015'!J60</f>
        <v>3364</v>
      </c>
    </row>
    <row r="8" spans="1:2" ht="16">
      <c r="A8" s="11" t="s">
        <v>94</v>
      </c>
      <c r="B8" s="11">
        <f>'August 2015'!J60</f>
        <v>3664</v>
      </c>
    </row>
    <row r="9" spans="1:2" ht="16">
      <c r="A9" s="11" t="s">
        <v>95</v>
      </c>
      <c r="B9" s="11">
        <f>'September 2015'!J60</f>
        <v>3364</v>
      </c>
    </row>
    <row r="10" spans="1:2" ht="16">
      <c r="A10" s="11" t="s">
        <v>96</v>
      </c>
      <c r="B10" s="11">
        <f>'October 2015'!J60</f>
        <v>3364</v>
      </c>
    </row>
    <row r="11" spans="1:2" ht="16">
      <c r="A11" s="11" t="s">
        <v>97</v>
      </c>
      <c r="B11" s="11">
        <f>'November 2015'!J60</f>
        <v>3364</v>
      </c>
    </row>
    <row r="12" spans="1:2" ht="16">
      <c r="A12" s="11" t="s">
        <v>98</v>
      </c>
      <c r="B12" s="11">
        <f>'December 2015'!J60</f>
        <v>3764</v>
      </c>
    </row>
    <row r="13" spans="1:2" ht="16">
      <c r="A13" s="11" t="s">
        <v>89</v>
      </c>
      <c r="B13" s="11">
        <f>SUM(B4:B12)</f>
        <v>32231</v>
      </c>
    </row>
    <row r="14" spans="1:2">
      <c r="A14" s="9"/>
    </row>
    <row r="15" spans="1:2">
      <c r="A15" s="9"/>
    </row>
    <row r="16" spans="1:2">
      <c r="A16" s="9"/>
    </row>
    <row r="17" spans="1:1">
      <c r="A17" s="9"/>
    </row>
  </sheetData>
  <pageMargins left="0.7" right="0.7" top="0.75" bottom="0.75" header="0.3" footer="0.3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autoPageBreaks="0" fitToPage="1"/>
  </sheetPr>
  <dimension ref="A1:J76"/>
  <sheetViews>
    <sheetView showGridLines="0" topLeftCell="A46" workbookViewId="0">
      <selection activeCell="G9" sqref="G9:I10"/>
    </sheetView>
  </sheetViews>
  <sheetFormatPr baseColWidth="10" defaultColWidth="8.83203125" defaultRowHeight="13" x14ac:dyDescent="0"/>
  <cols>
    <col min="1" max="1" width="1.6640625" style="35" customWidth="1"/>
    <col min="2" max="2" width="28.33203125" style="35" bestFit="1" customWidth="1"/>
    <col min="3" max="3" width="17.1640625" style="35" bestFit="1" customWidth="1"/>
    <col min="4" max="4" width="14" style="35" bestFit="1" customWidth="1"/>
    <col min="5" max="5" width="12.83203125" style="35" bestFit="1" customWidth="1"/>
    <col min="6" max="6" width="2.83203125" style="35" customWidth="1"/>
    <col min="7" max="7" width="27.5" style="35" bestFit="1" customWidth="1"/>
    <col min="8" max="8" width="17.1640625" style="35" bestFit="1" customWidth="1"/>
    <col min="9" max="9" width="14" style="35" bestFit="1" customWidth="1"/>
    <col min="10" max="10" width="12.83203125" style="35" bestFit="1" customWidth="1"/>
    <col min="11" max="16384" width="8.83203125" style="35"/>
  </cols>
  <sheetData>
    <row r="1" spans="1:10" ht="8" customHeight="1">
      <c r="A1" s="47"/>
      <c r="B1" s="48"/>
      <c r="C1" s="48"/>
      <c r="D1" s="48"/>
      <c r="E1" s="48"/>
      <c r="F1" s="48"/>
      <c r="G1" s="48"/>
      <c r="H1" s="48"/>
      <c r="I1" s="48"/>
      <c r="J1" s="49"/>
    </row>
    <row r="2" spans="1:10" ht="52" customHeight="1">
      <c r="A2" s="47"/>
      <c r="B2" s="68" t="s">
        <v>78</v>
      </c>
      <c r="C2" s="68"/>
      <c r="D2" s="68"/>
      <c r="E2" s="68"/>
      <c r="F2" s="68"/>
      <c r="G2" s="68"/>
      <c r="H2" s="68"/>
      <c r="I2" s="68"/>
      <c r="J2" s="68"/>
    </row>
    <row r="3" spans="1:10" ht="8" customHeight="1">
      <c r="A3" s="49"/>
      <c r="B3" s="69"/>
      <c r="C3" s="69"/>
      <c r="D3" s="69"/>
      <c r="E3" s="50"/>
      <c r="F3" s="13"/>
      <c r="G3" s="50"/>
      <c r="H3" s="51"/>
      <c r="I3" s="52"/>
      <c r="J3" s="53"/>
    </row>
    <row r="4" spans="1:10" ht="16" customHeight="1">
      <c r="A4" s="49"/>
      <c r="B4" s="63" t="s">
        <v>66</v>
      </c>
      <c r="C4" s="54" t="s">
        <v>3</v>
      </c>
      <c r="D4" s="55"/>
      <c r="E4" s="12">
        <v>2000</v>
      </c>
      <c r="F4" s="13"/>
      <c r="G4" s="59" t="s">
        <v>99</v>
      </c>
      <c r="H4" s="59"/>
      <c r="I4" s="59"/>
      <c r="J4" s="60">
        <f>E7-J59</f>
        <v>-750</v>
      </c>
    </row>
    <row r="5" spans="1:10" ht="16" customHeight="1">
      <c r="A5" s="49"/>
      <c r="B5" s="64"/>
      <c r="C5" s="14" t="s">
        <v>67</v>
      </c>
      <c r="D5" s="15"/>
      <c r="E5" s="12">
        <v>1000</v>
      </c>
      <c r="F5" s="13"/>
      <c r="G5" s="59"/>
      <c r="H5" s="59"/>
      <c r="I5" s="59"/>
      <c r="J5" s="60"/>
    </row>
    <row r="6" spans="1:10" ht="16" customHeight="1">
      <c r="A6" s="49"/>
      <c r="B6" s="64"/>
      <c r="C6" s="54" t="s">
        <v>64</v>
      </c>
      <c r="D6" s="55"/>
      <c r="E6" s="12">
        <v>250</v>
      </c>
      <c r="F6" s="13"/>
      <c r="G6" s="59"/>
      <c r="H6" s="59"/>
      <c r="I6" s="59"/>
      <c r="J6" s="60"/>
    </row>
    <row r="7" spans="1:10" ht="16" customHeight="1">
      <c r="A7" s="49"/>
      <c r="B7" s="65"/>
      <c r="C7" s="61" t="s">
        <v>18</v>
      </c>
      <c r="D7" s="62"/>
      <c r="E7" s="16">
        <f>SUM(E4:E6)</f>
        <v>3250</v>
      </c>
      <c r="F7" s="13"/>
      <c r="G7" s="59" t="s">
        <v>100</v>
      </c>
      <c r="H7" s="59"/>
      <c r="I7" s="59"/>
      <c r="J7" s="60">
        <f>E11-J60</f>
        <v>636</v>
      </c>
    </row>
    <row r="8" spans="1:10" ht="16" customHeight="1">
      <c r="A8" s="49"/>
      <c r="B8" s="63" t="s">
        <v>32</v>
      </c>
      <c r="C8" s="54" t="s">
        <v>3</v>
      </c>
      <c r="D8" s="55"/>
      <c r="E8" s="12">
        <v>2500</v>
      </c>
      <c r="F8" s="13"/>
      <c r="G8" s="59"/>
      <c r="H8" s="59"/>
      <c r="I8" s="59"/>
      <c r="J8" s="60"/>
    </row>
    <row r="9" spans="1:10" ht="16" customHeight="1">
      <c r="A9" s="49"/>
      <c r="B9" s="64"/>
      <c r="C9" s="14" t="s">
        <v>67</v>
      </c>
      <c r="D9" s="15"/>
      <c r="E9" s="12">
        <v>1000</v>
      </c>
      <c r="F9" s="13"/>
      <c r="G9" s="59" t="s">
        <v>101</v>
      </c>
      <c r="H9" s="59"/>
      <c r="I9" s="59"/>
      <c r="J9" s="60">
        <f>J7-J4</f>
        <v>1386</v>
      </c>
    </row>
    <row r="10" spans="1:10" ht="16" customHeight="1">
      <c r="A10" s="49"/>
      <c r="B10" s="64"/>
      <c r="C10" s="54" t="s">
        <v>64</v>
      </c>
      <c r="D10" s="55"/>
      <c r="E10" s="12">
        <v>500</v>
      </c>
      <c r="F10" s="13"/>
      <c r="G10" s="59"/>
      <c r="H10" s="59"/>
      <c r="I10" s="59"/>
      <c r="J10" s="60"/>
    </row>
    <row r="11" spans="1:10" ht="16" customHeight="1">
      <c r="A11" s="49"/>
      <c r="B11" s="65"/>
      <c r="C11" s="61" t="s">
        <v>18</v>
      </c>
      <c r="D11" s="62"/>
      <c r="E11" s="16">
        <f>SUM(E8:E10)</f>
        <v>4000</v>
      </c>
      <c r="F11" s="13"/>
      <c r="G11" s="17"/>
      <c r="H11" s="17"/>
      <c r="I11" s="17"/>
      <c r="J11" s="18"/>
    </row>
    <row r="12" spans="1:10" ht="16" customHeight="1">
      <c r="A12" s="49"/>
      <c r="B12" s="19"/>
      <c r="C12" s="19"/>
      <c r="D12" s="20"/>
      <c r="E12" s="21"/>
      <c r="F12" s="13"/>
      <c r="G12" s="22" t="s">
        <v>25</v>
      </c>
      <c r="H12" s="23" t="s">
        <v>0</v>
      </c>
      <c r="I12" s="23" t="s">
        <v>1</v>
      </c>
      <c r="J12" s="24" t="s">
        <v>2</v>
      </c>
    </row>
    <row r="13" spans="1:10" ht="16" customHeight="1">
      <c r="A13" s="49"/>
      <c r="B13" s="22" t="s">
        <v>37</v>
      </c>
      <c r="C13" s="23" t="s">
        <v>0</v>
      </c>
      <c r="D13" s="23" t="s">
        <v>1</v>
      </c>
      <c r="E13" s="24" t="s">
        <v>2</v>
      </c>
      <c r="F13" s="25"/>
      <c r="G13" s="26" t="s">
        <v>40</v>
      </c>
      <c r="H13" s="27">
        <v>20</v>
      </c>
      <c r="I13" s="27">
        <v>50</v>
      </c>
      <c r="J13" s="28">
        <f>Table225374961[Projected Cost]-Table225374961[Actual Cost]</f>
        <v>-30</v>
      </c>
    </row>
    <row r="14" spans="1:10" ht="15.75" customHeight="1">
      <c r="A14" s="49"/>
      <c r="B14" s="26" t="s">
        <v>4</v>
      </c>
      <c r="C14" s="27">
        <v>1000</v>
      </c>
      <c r="D14" s="27">
        <v>1010</v>
      </c>
      <c r="E14" s="28">
        <f>Table114263850[Projected Cost]-Table114263850[Actual Cost]</f>
        <v>-10</v>
      </c>
      <c r="F14" s="29"/>
      <c r="G14" s="30" t="s">
        <v>41</v>
      </c>
      <c r="H14" s="31"/>
      <c r="I14" s="31"/>
      <c r="J14" s="32">
        <f>Table225374961[Projected Cost]-Table225374961[Actual Cost]</f>
        <v>0</v>
      </c>
    </row>
    <row r="15" spans="1:10" ht="15.75" customHeight="1">
      <c r="A15" s="49"/>
      <c r="B15" s="30" t="s">
        <v>6</v>
      </c>
      <c r="C15" s="31">
        <v>100</v>
      </c>
      <c r="D15" s="31">
        <v>200</v>
      </c>
      <c r="E15" s="32">
        <f>Table114263850[Projected Cost]-Table114263850[Actual Cost]</f>
        <v>-100</v>
      </c>
      <c r="F15" s="29"/>
      <c r="G15" s="26" t="s">
        <v>13</v>
      </c>
      <c r="H15" s="27">
        <v>25</v>
      </c>
      <c r="I15" s="27">
        <v>45</v>
      </c>
      <c r="J15" s="28">
        <f>Table225374961[Projected Cost]-Table225374961[Actual Cost]</f>
        <v>-20</v>
      </c>
    </row>
    <row r="16" spans="1:10" ht="15.75" customHeight="1">
      <c r="A16" s="49"/>
      <c r="B16" s="26" t="s">
        <v>7</v>
      </c>
      <c r="C16" s="27"/>
      <c r="D16" s="27"/>
      <c r="E16" s="28">
        <f>Table114263850[Projected Cost]-Table114263850[Actual Cost]</f>
        <v>0</v>
      </c>
      <c r="F16" s="29"/>
      <c r="G16" s="30" t="s">
        <v>14</v>
      </c>
      <c r="H16" s="31"/>
      <c r="I16" s="31"/>
      <c r="J16" s="32">
        <f>Table225374961[Projected Cost]-Table225374961[Actual Cost]</f>
        <v>0</v>
      </c>
    </row>
    <row r="17" spans="1:10" ht="15.75" customHeight="1">
      <c r="A17" s="49"/>
      <c r="B17" s="30" t="s">
        <v>8</v>
      </c>
      <c r="C17" s="31"/>
      <c r="D17" s="31"/>
      <c r="E17" s="32">
        <f>Table114263850[Projected Cost]-Table114263850[Actual Cost]</f>
        <v>0</v>
      </c>
      <c r="F17" s="29"/>
      <c r="G17" s="26" t="s">
        <v>21</v>
      </c>
      <c r="H17" s="27"/>
      <c r="I17" s="27"/>
      <c r="J17" s="28">
        <f>Table225374961[Projected Cost]-Table225374961[Actual Cost]</f>
        <v>0</v>
      </c>
    </row>
    <row r="18" spans="1:10" ht="15.75" customHeight="1">
      <c r="A18" s="49"/>
      <c r="B18" s="22" t="s">
        <v>35</v>
      </c>
      <c r="C18" s="31">
        <f>SUBTOTAL(109,Table114263850[Projected Cost])</f>
        <v>1100</v>
      </c>
      <c r="D18" s="31">
        <f>SUBTOTAL(109,Table114263850[Actual Cost])</f>
        <v>1210</v>
      </c>
      <c r="E18" s="33">
        <f>SUBTOTAL(109,Table114263850[Difference])</f>
        <v>-110</v>
      </c>
      <c r="F18" s="29"/>
      <c r="G18" s="30" t="s">
        <v>42</v>
      </c>
      <c r="H18" s="31">
        <v>50</v>
      </c>
      <c r="I18" s="31">
        <v>75</v>
      </c>
      <c r="J18" s="32">
        <f>Table225374961[Projected Cost]-Table225374961[Actual Cost]</f>
        <v>-25</v>
      </c>
    </row>
    <row r="19" spans="1:10" ht="15.75" customHeight="1">
      <c r="A19" s="49"/>
      <c r="B19" s="56"/>
      <c r="C19" s="56"/>
      <c r="D19" s="56"/>
      <c r="E19" s="56"/>
      <c r="F19" s="29"/>
      <c r="G19" s="26" t="s">
        <v>47</v>
      </c>
      <c r="H19" s="27"/>
      <c r="I19" s="27"/>
      <c r="J19" s="28">
        <f>Table225374961[Projected Cost]-Table225374961[Actual Cost]</f>
        <v>0</v>
      </c>
    </row>
    <row r="20" spans="1:10" ht="15.75" customHeight="1">
      <c r="A20" s="49"/>
      <c r="B20" s="22" t="s">
        <v>27</v>
      </c>
      <c r="C20" s="23" t="s">
        <v>0</v>
      </c>
      <c r="D20" s="23" t="s">
        <v>1</v>
      </c>
      <c r="E20" s="24" t="s">
        <v>2</v>
      </c>
      <c r="F20" s="29"/>
      <c r="G20" s="30" t="s">
        <v>8</v>
      </c>
      <c r="H20" s="31"/>
      <c r="I20" s="31"/>
      <c r="J20" s="32">
        <f>Table225374961[Projected Cost]-Table225374961[Actual Cost]</f>
        <v>0</v>
      </c>
    </row>
    <row r="21" spans="1:10" ht="15.75" customHeight="1">
      <c r="A21" s="49"/>
      <c r="B21" s="26" t="s">
        <v>20</v>
      </c>
      <c r="C21" s="27">
        <v>250</v>
      </c>
      <c r="D21" s="27">
        <v>250</v>
      </c>
      <c r="E21" s="28">
        <f>Table321334557[Projected Cost]-Table321334557[Actual Cost]</f>
        <v>0</v>
      </c>
      <c r="F21" s="29"/>
      <c r="G21" s="26" t="s">
        <v>8</v>
      </c>
      <c r="H21" s="27"/>
      <c r="I21" s="27"/>
      <c r="J21" s="28">
        <f>Table225374961[Projected Cost]-Table225374961[Actual Cost]</f>
        <v>0</v>
      </c>
    </row>
    <row r="22" spans="1:10" ht="15.75" customHeight="1">
      <c r="A22" s="49"/>
      <c r="B22" s="30" t="s">
        <v>51</v>
      </c>
      <c r="C22" s="31"/>
      <c r="D22" s="31"/>
      <c r="E22" s="32">
        <f>Table321334557[Projected Cost]-Table321334557[Actual Cost]</f>
        <v>0</v>
      </c>
      <c r="F22" s="29"/>
      <c r="G22" s="22" t="s">
        <v>35</v>
      </c>
      <c r="H22" s="34">
        <f>SUBTOTAL(109,Table225374961[Projected Cost])</f>
        <v>95</v>
      </c>
      <c r="I22" s="31">
        <f>SUBTOTAL(109,Table225374961[Actual Cost])</f>
        <v>170</v>
      </c>
      <c r="J22" s="33">
        <f>SUBTOTAL(109,Table225374961[Difference])</f>
        <v>-75</v>
      </c>
    </row>
    <row r="23" spans="1:10" ht="15.75" customHeight="1">
      <c r="A23" s="49"/>
      <c r="B23" s="26" t="s">
        <v>9</v>
      </c>
      <c r="C23" s="27"/>
      <c r="D23" s="27"/>
      <c r="E23" s="28">
        <f>Table321334557[Projected Cost]-Table321334557[Actual Cost]</f>
        <v>0</v>
      </c>
      <c r="F23" s="29"/>
      <c r="G23" s="67"/>
      <c r="H23" s="67"/>
      <c r="I23" s="67"/>
      <c r="J23" s="67"/>
    </row>
    <row r="24" spans="1:10" ht="15.75" customHeight="1">
      <c r="A24" s="49"/>
      <c r="B24" s="30" t="s">
        <v>5</v>
      </c>
      <c r="C24" s="31">
        <v>50</v>
      </c>
      <c r="D24" s="31">
        <v>60</v>
      </c>
      <c r="E24" s="32">
        <f>Table321334557[Projected Cost]-Table321334557[Actual Cost]</f>
        <v>-10</v>
      </c>
      <c r="F24" s="29"/>
      <c r="G24" s="22" t="s">
        <v>26</v>
      </c>
      <c r="H24" s="23" t="s">
        <v>0</v>
      </c>
      <c r="I24" s="23" t="s">
        <v>1</v>
      </c>
      <c r="J24" s="24" t="s">
        <v>2</v>
      </c>
    </row>
    <row r="25" spans="1:10" ht="15.75" customHeight="1">
      <c r="A25" s="49"/>
      <c r="B25" s="26" t="s">
        <v>10</v>
      </c>
      <c r="C25" s="27"/>
      <c r="D25" s="27"/>
      <c r="E25" s="28">
        <f>Table321334557[Projected Cost]-Table321334557[Actual Cost]</f>
        <v>0</v>
      </c>
      <c r="F25" s="29"/>
      <c r="G25" s="26" t="s">
        <v>43</v>
      </c>
      <c r="H25" s="27">
        <v>400</v>
      </c>
      <c r="I25" s="27">
        <v>400</v>
      </c>
      <c r="J25" s="28">
        <f>Table822344658[Projected Cost]-Table822344658[Actual Cost]</f>
        <v>0</v>
      </c>
    </row>
    <row r="26" spans="1:10" ht="15.75" customHeight="1">
      <c r="A26" s="49"/>
      <c r="B26" s="30" t="s">
        <v>8</v>
      </c>
      <c r="C26" s="31"/>
      <c r="D26" s="31"/>
      <c r="E26" s="32">
        <f>Table321334557[Projected Cost]-Table321334557[Actual Cost]</f>
        <v>0</v>
      </c>
      <c r="F26" s="29"/>
      <c r="G26" s="30" t="s">
        <v>44</v>
      </c>
      <c r="H26" s="31"/>
      <c r="I26" s="31"/>
      <c r="J26" s="32">
        <f>Table822344658[Projected Cost]-Table822344658[Actual Cost]</f>
        <v>0</v>
      </c>
    </row>
    <row r="27" spans="1:10" ht="15.75" customHeight="1">
      <c r="A27" s="49"/>
      <c r="B27" s="22" t="s">
        <v>35</v>
      </c>
      <c r="C27" s="31">
        <f>SUBTOTAL(109,Table321334557[Projected Cost])</f>
        <v>300</v>
      </c>
      <c r="D27" s="31">
        <f>SUBTOTAL(109,Table321334557[Actual Cost])</f>
        <v>310</v>
      </c>
      <c r="E27" s="33">
        <f>SUBTOTAL(109,Table321334557[Difference])</f>
        <v>-10</v>
      </c>
      <c r="F27" s="29"/>
      <c r="G27" s="26" t="s">
        <v>22</v>
      </c>
      <c r="H27" s="27"/>
      <c r="I27" s="27"/>
      <c r="J27" s="28">
        <f>Table822344658[Projected Cost]-Table822344658[Actual Cost]</f>
        <v>0</v>
      </c>
    </row>
    <row r="28" spans="1:10" ht="15.75" customHeight="1">
      <c r="A28" s="49"/>
      <c r="B28" s="56"/>
      <c r="C28" s="56"/>
      <c r="D28" s="56"/>
      <c r="E28" s="56"/>
      <c r="F28" s="29"/>
      <c r="G28" s="30" t="s">
        <v>22</v>
      </c>
      <c r="H28" s="31"/>
      <c r="I28" s="31"/>
      <c r="J28" s="32">
        <f>Table822344658[Projected Cost]-Table822344658[Actual Cost]</f>
        <v>0</v>
      </c>
    </row>
    <row r="29" spans="1:10" ht="15.75" customHeight="1">
      <c r="A29" s="49"/>
      <c r="B29" s="22" t="s">
        <v>36</v>
      </c>
      <c r="C29" s="23" t="s">
        <v>0</v>
      </c>
      <c r="D29" s="23" t="s">
        <v>1</v>
      </c>
      <c r="E29" s="24" t="s">
        <v>2</v>
      </c>
      <c r="F29" s="29"/>
      <c r="G29" s="26" t="s">
        <v>22</v>
      </c>
      <c r="H29" s="27">
        <v>100</v>
      </c>
      <c r="I29" s="27">
        <v>100</v>
      </c>
      <c r="J29" s="28">
        <f>Table822344658[Projected Cost]-Table822344658[Actual Cost]</f>
        <v>0</v>
      </c>
    </row>
    <row r="30" spans="1:10" ht="15.75" customHeight="1">
      <c r="A30" s="49"/>
      <c r="B30" s="26" t="s">
        <v>5</v>
      </c>
      <c r="C30" s="27">
        <v>50</v>
      </c>
      <c r="D30" s="27">
        <v>50</v>
      </c>
      <c r="E30" s="28">
        <f>Table415273951[Projected Cost]-Table415273951[Actual Cost]</f>
        <v>0</v>
      </c>
      <c r="F30" s="29"/>
      <c r="G30" s="30" t="s">
        <v>8</v>
      </c>
      <c r="H30" s="31"/>
      <c r="I30" s="31"/>
      <c r="J30" s="32">
        <f>Table822344658[Projected Cost]-Table822344658[Actual Cost]</f>
        <v>0</v>
      </c>
    </row>
    <row r="31" spans="1:10" ht="15.75" customHeight="1">
      <c r="A31" s="49"/>
      <c r="B31" s="30" t="s">
        <v>38</v>
      </c>
      <c r="C31" s="31">
        <v>100</v>
      </c>
      <c r="D31" s="31">
        <v>110</v>
      </c>
      <c r="E31" s="32">
        <f>Table415273951[Projected Cost]-Table415273951[Actual Cost]</f>
        <v>-10</v>
      </c>
      <c r="F31" s="29"/>
      <c r="G31" s="22" t="s">
        <v>35</v>
      </c>
      <c r="H31" s="31">
        <f>SUBTOTAL(109,Table822344658[Projected Cost])</f>
        <v>500</v>
      </c>
      <c r="I31" s="31">
        <f>SUBTOTAL(109,Table822344658[Actual Cost])</f>
        <v>500</v>
      </c>
      <c r="J31" s="33">
        <f>SUBTOTAL(109,Table822344658[Difference])</f>
        <v>0</v>
      </c>
    </row>
    <row r="32" spans="1:10" ht="15.75" customHeight="1">
      <c r="A32" s="49"/>
      <c r="B32" s="26" t="s">
        <v>39</v>
      </c>
      <c r="C32" s="27"/>
      <c r="D32" s="27"/>
      <c r="E32" s="28">
        <f>Table415273951[Projected Cost]-Table415273951[Actual Cost]</f>
        <v>0</v>
      </c>
      <c r="F32" s="29"/>
      <c r="G32" s="56"/>
      <c r="H32" s="56"/>
      <c r="I32" s="56"/>
      <c r="J32" s="56"/>
    </row>
    <row r="33" spans="1:10" ht="15.75" customHeight="1">
      <c r="A33" s="49"/>
      <c r="B33" s="30" t="s">
        <v>19</v>
      </c>
      <c r="C33" s="31"/>
      <c r="D33" s="31"/>
      <c r="E33" s="32">
        <f>Table415273951[Projected Cost]-Table415273951[Actual Cost]</f>
        <v>0</v>
      </c>
      <c r="F33" s="29"/>
      <c r="G33" s="22" t="s">
        <v>28</v>
      </c>
      <c r="H33" s="23" t="s">
        <v>0</v>
      </c>
      <c r="I33" s="23" t="s">
        <v>1</v>
      </c>
      <c r="J33" s="24" t="s">
        <v>2</v>
      </c>
    </row>
    <row r="34" spans="1:10" ht="15.75" customHeight="1">
      <c r="A34" s="49"/>
      <c r="B34" s="22" t="s">
        <v>35</v>
      </c>
      <c r="C34" s="31">
        <f>SUBTOTAL(109,Table415273951[Projected Cost])</f>
        <v>150</v>
      </c>
      <c r="D34" s="31">
        <f>SUBTOTAL(109,Table415273951[Actual Cost])</f>
        <v>160</v>
      </c>
      <c r="E34" s="33">
        <f>SUBTOTAL(109,Table415273951[Difference])</f>
        <v>-10</v>
      </c>
      <c r="F34" s="29"/>
      <c r="G34" s="26" t="s">
        <v>15</v>
      </c>
      <c r="H34" s="27">
        <v>25</v>
      </c>
      <c r="I34" s="27">
        <v>25</v>
      </c>
      <c r="J34" s="28">
        <f>Table920324456[Projected Cost]-Table920324456[Actual Cost]</f>
        <v>0</v>
      </c>
    </row>
    <row r="35" spans="1:10" ht="15.75" customHeight="1">
      <c r="A35" s="49"/>
      <c r="B35" s="56"/>
      <c r="C35" s="56"/>
      <c r="D35" s="56"/>
      <c r="E35" s="56"/>
      <c r="F35" s="29"/>
      <c r="G35" s="30" t="s">
        <v>16</v>
      </c>
      <c r="H35" s="31"/>
      <c r="I35" s="31"/>
      <c r="J35" s="32">
        <f>Table920324456[Projected Cost]-Table920324456[Actual Cost]</f>
        <v>0</v>
      </c>
    </row>
    <row r="36" spans="1:10" ht="15.75" customHeight="1">
      <c r="A36" s="49"/>
      <c r="B36" s="22" t="s">
        <v>29</v>
      </c>
      <c r="C36" s="23" t="s">
        <v>0</v>
      </c>
      <c r="D36" s="23" t="s">
        <v>1</v>
      </c>
      <c r="E36" s="24" t="s">
        <v>2</v>
      </c>
      <c r="F36" s="29"/>
      <c r="G36" s="26" t="s">
        <v>17</v>
      </c>
      <c r="H36" s="27"/>
      <c r="I36" s="27"/>
      <c r="J36" s="28">
        <f>Table920324456[Projected Cost]-Table920324456[Actual Cost]</f>
        <v>0</v>
      </c>
    </row>
    <row r="37" spans="1:10" ht="15.75" customHeight="1">
      <c r="A37" s="49"/>
      <c r="B37" s="26" t="s">
        <v>11</v>
      </c>
      <c r="C37" s="27">
        <v>500</v>
      </c>
      <c r="D37" s="27">
        <v>400</v>
      </c>
      <c r="E37" s="28">
        <f>Table519314355[Projected Cost]-Table519314355[Actual Cost]</f>
        <v>100</v>
      </c>
      <c r="F37" s="29"/>
      <c r="G37" s="30" t="s">
        <v>8</v>
      </c>
      <c r="H37" s="31"/>
      <c r="I37" s="31"/>
      <c r="J37" s="32">
        <f>Table920324456[Projected Cost]-Table920324456[Actual Cost]</f>
        <v>0</v>
      </c>
    </row>
    <row r="38" spans="1:10" ht="15.75" customHeight="1">
      <c r="A38" s="49"/>
      <c r="B38" s="30" t="s">
        <v>8</v>
      </c>
      <c r="C38" s="31"/>
      <c r="D38" s="31"/>
      <c r="E38" s="32">
        <f>Table519314355[Projected Cost]-Table519314355[Actual Cost]</f>
        <v>0</v>
      </c>
      <c r="F38" s="29"/>
      <c r="G38" s="22" t="s">
        <v>35</v>
      </c>
      <c r="H38" s="31">
        <f>SUBTOTAL(109,Table920324456[Projected Cost])</f>
        <v>25</v>
      </c>
      <c r="I38" s="31">
        <f>SUBTOTAL(109,Table920324456[Actual Cost])</f>
        <v>25</v>
      </c>
      <c r="J38" s="33">
        <f>SUBTOTAL(109,Table920324456[Difference])</f>
        <v>0</v>
      </c>
    </row>
    <row r="39" spans="1:10" ht="15.75" customHeight="1">
      <c r="A39" s="49"/>
      <c r="B39" s="22" t="s">
        <v>35</v>
      </c>
      <c r="C39" s="31">
        <f>SUBTOTAL(109,Table519314355[Projected Cost])</f>
        <v>500</v>
      </c>
      <c r="D39" s="31">
        <f>SUBTOTAL(109,Table519314355[Actual Cost])</f>
        <v>400</v>
      </c>
      <c r="E39" s="33">
        <f>SUBTOTAL(109,Table519314355[Difference])</f>
        <v>100</v>
      </c>
      <c r="F39" s="29"/>
      <c r="G39" s="56"/>
      <c r="H39" s="56"/>
      <c r="I39" s="56"/>
      <c r="J39" s="56"/>
    </row>
    <row r="40" spans="1:10" ht="15.75" customHeight="1">
      <c r="A40" s="49"/>
      <c r="B40" s="56"/>
      <c r="C40" s="56"/>
      <c r="D40" s="56"/>
      <c r="E40" s="56"/>
      <c r="F40" s="29"/>
      <c r="G40" s="22" t="s">
        <v>30</v>
      </c>
      <c r="H40" s="23" t="s">
        <v>0</v>
      </c>
      <c r="I40" s="23" t="s">
        <v>1</v>
      </c>
      <c r="J40" s="24" t="s">
        <v>2</v>
      </c>
    </row>
    <row r="41" spans="1:10" ht="15.75" customHeight="1">
      <c r="A41" s="49"/>
      <c r="B41" s="22" t="s">
        <v>48</v>
      </c>
      <c r="C41" s="23" t="s">
        <v>0</v>
      </c>
      <c r="D41" s="23" t="s">
        <v>1</v>
      </c>
      <c r="E41" s="24" t="s">
        <v>2</v>
      </c>
      <c r="F41" s="29"/>
      <c r="G41" s="26" t="s">
        <v>23</v>
      </c>
      <c r="H41" s="27"/>
      <c r="I41" s="27"/>
      <c r="J41" s="28">
        <f>Table1023354759[Projected Cost]-Table1023354759[Actual Cost]</f>
        <v>0</v>
      </c>
    </row>
    <row r="42" spans="1:10" ht="15.75" customHeight="1">
      <c r="A42" s="49"/>
      <c r="B42" s="26" t="s">
        <v>45</v>
      </c>
      <c r="C42" s="27">
        <v>50</v>
      </c>
      <c r="D42" s="27">
        <v>50</v>
      </c>
      <c r="E42" s="28">
        <f>Table617294153[Projected Cost]-Table617294153[Actual Cost]</f>
        <v>0</v>
      </c>
      <c r="F42" s="29"/>
      <c r="G42" s="30" t="s">
        <v>24</v>
      </c>
      <c r="H42" s="31"/>
      <c r="I42" s="31"/>
      <c r="J42" s="32">
        <f>Table1023354759[Projected Cost]-Table1023354759[Actual Cost]</f>
        <v>0</v>
      </c>
    </row>
    <row r="43" spans="1:10" ht="15.75" customHeight="1">
      <c r="A43" s="49"/>
      <c r="B43" s="30" t="s">
        <v>46</v>
      </c>
      <c r="C43" s="31"/>
      <c r="D43" s="31"/>
      <c r="E43" s="32">
        <f>Table617294153[Projected Cost]-Table617294153[Actual Cost]</f>
        <v>0</v>
      </c>
      <c r="F43" s="29"/>
      <c r="G43" s="26" t="s">
        <v>63</v>
      </c>
      <c r="H43" s="27">
        <v>1000</v>
      </c>
      <c r="I43" s="27">
        <v>250</v>
      </c>
      <c r="J43" s="28">
        <f>Table1023354759[Projected Cost]-Table1023354759[Actual Cost]</f>
        <v>750</v>
      </c>
    </row>
    <row r="44" spans="1:10" ht="15.75" customHeight="1">
      <c r="A44" s="49"/>
      <c r="B44" s="26" t="s">
        <v>49</v>
      </c>
      <c r="C44" s="27">
        <v>25</v>
      </c>
      <c r="D44" s="27">
        <v>0</v>
      </c>
      <c r="E44" s="28">
        <f>Table617294153[Projected Cost]-Table617294153[Actual Cost]</f>
        <v>25</v>
      </c>
      <c r="F44" s="29"/>
      <c r="G44" s="22" t="s">
        <v>35</v>
      </c>
      <c r="H44" s="31">
        <f>SUBTOTAL(109,Table1023354759[Projected Cost])</f>
        <v>1000</v>
      </c>
      <c r="I44" s="31">
        <f>SUBTOTAL(109,Table1023354759[Actual Cost])</f>
        <v>250</v>
      </c>
      <c r="J44" s="33">
        <f>SUBTOTAL(109,Table1023354759[Difference])</f>
        <v>750</v>
      </c>
    </row>
    <row r="45" spans="1:10" ht="15.75" customHeight="1">
      <c r="A45" s="49"/>
      <c r="B45" s="30" t="s">
        <v>50</v>
      </c>
      <c r="C45" s="31">
        <v>50</v>
      </c>
      <c r="D45" s="31">
        <v>100</v>
      </c>
      <c r="E45" s="32">
        <f>Table617294153[Projected Cost]-Table617294153[Actual Cost]</f>
        <v>-50</v>
      </c>
      <c r="F45" s="29"/>
      <c r="G45" s="56"/>
      <c r="H45" s="56"/>
      <c r="I45" s="56"/>
      <c r="J45" s="56"/>
    </row>
    <row r="46" spans="1:10" ht="15.75" customHeight="1">
      <c r="A46" s="49"/>
      <c r="B46" s="26" t="s">
        <v>8</v>
      </c>
      <c r="C46" s="27"/>
      <c r="D46" s="27"/>
      <c r="E46" s="28">
        <f>Table617294153[Projected Cost]-Table617294153[Actual Cost]</f>
        <v>0</v>
      </c>
      <c r="F46" s="29"/>
      <c r="G46" s="22" t="s">
        <v>53</v>
      </c>
      <c r="H46" s="23" t="s">
        <v>0</v>
      </c>
      <c r="I46" s="23" t="s">
        <v>1</v>
      </c>
      <c r="J46" s="24" t="s">
        <v>2</v>
      </c>
    </row>
    <row r="47" spans="1:10" ht="15.75" customHeight="1">
      <c r="A47" s="49"/>
      <c r="B47" s="22" t="s">
        <v>35</v>
      </c>
      <c r="C47" s="31">
        <f>SUBTOTAL(109,Table617294153[Projected Cost])</f>
        <v>125</v>
      </c>
      <c r="D47" s="31">
        <f>SUBTOTAL(109,Table617294153[Actual Cost])</f>
        <v>150</v>
      </c>
      <c r="E47" s="33">
        <f>SUBTOTAL(109,Table617294153[Difference])</f>
        <v>-25</v>
      </c>
      <c r="F47" s="29"/>
      <c r="G47" s="26" t="s">
        <v>9</v>
      </c>
      <c r="H47" s="27"/>
      <c r="I47" s="27"/>
      <c r="J47" s="28">
        <f>Table1118304254[Projected Cost]-Table1118304254[Actual Cost]</f>
        <v>0</v>
      </c>
    </row>
    <row r="48" spans="1:10" ht="15.75" customHeight="1">
      <c r="A48" s="49"/>
      <c r="B48" s="56"/>
      <c r="C48" s="56"/>
      <c r="D48" s="56"/>
      <c r="E48" s="56"/>
      <c r="F48" s="29"/>
      <c r="G48" s="30" t="s">
        <v>57</v>
      </c>
      <c r="H48" s="31"/>
      <c r="I48" s="31"/>
      <c r="J48" s="32">
        <f>Table1118304254[Projected Cost]-Table1118304254[Actual Cost]</f>
        <v>0</v>
      </c>
    </row>
    <row r="49" spans="1:10" ht="15.75" customHeight="1">
      <c r="A49" s="49"/>
      <c r="B49" s="22" t="s">
        <v>31</v>
      </c>
      <c r="C49" s="23" t="s">
        <v>0</v>
      </c>
      <c r="D49" s="23" t="s">
        <v>1</v>
      </c>
      <c r="E49" s="24" t="s">
        <v>2</v>
      </c>
      <c r="F49" s="29"/>
      <c r="G49" s="26" t="s">
        <v>58</v>
      </c>
      <c r="H49" s="27">
        <v>75</v>
      </c>
      <c r="I49" s="27">
        <v>50</v>
      </c>
      <c r="J49" s="28">
        <f>Table1118304254[Projected Cost]-Table1118304254[Actual Cost]</f>
        <v>25</v>
      </c>
    </row>
    <row r="50" spans="1:10" ht="15.75" customHeight="1">
      <c r="A50" s="49"/>
      <c r="B50" s="26" t="s">
        <v>55</v>
      </c>
      <c r="C50" s="27">
        <v>15</v>
      </c>
      <c r="D50" s="27">
        <v>25</v>
      </c>
      <c r="E50" s="28">
        <f>Table724364860[Projected Cost]-Table724364860[Actual Cost]</f>
        <v>-10</v>
      </c>
      <c r="F50" s="29"/>
      <c r="G50" s="22" t="s">
        <v>35</v>
      </c>
      <c r="H50" s="31">
        <f>SUBTOTAL(109,Table1118304254[Projected Cost])</f>
        <v>75</v>
      </c>
      <c r="I50" s="31">
        <f>SUBTOTAL(109,Table1118304254[Actual Cost])</f>
        <v>50</v>
      </c>
      <c r="J50" s="33">
        <f>SUBTOTAL(109,Table1118304254[Difference])</f>
        <v>25</v>
      </c>
    </row>
    <row r="51" spans="1:10" ht="15.75" customHeight="1">
      <c r="A51" s="49"/>
      <c r="B51" s="30" t="s">
        <v>56</v>
      </c>
      <c r="C51" s="31">
        <v>10</v>
      </c>
      <c r="D51" s="31">
        <v>20</v>
      </c>
      <c r="E51" s="32">
        <f>Table724364860[Projected Cost]-Table724364860[Actual Cost]</f>
        <v>-10</v>
      </c>
      <c r="F51" s="29"/>
      <c r="G51" s="56"/>
      <c r="H51" s="56"/>
      <c r="I51" s="56"/>
      <c r="J51" s="56"/>
    </row>
    <row r="52" spans="1:10" ht="15.75" customHeight="1">
      <c r="A52" s="49"/>
      <c r="B52" s="26" t="s">
        <v>12</v>
      </c>
      <c r="C52" s="27"/>
      <c r="D52" s="27"/>
      <c r="E52" s="28">
        <f>Table724364860[Projected Cost]-Table724364860[Actual Cost]</f>
        <v>0</v>
      </c>
      <c r="F52" s="29"/>
      <c r="G52" s="22" t="s">
        <v>59</v>
      </c>
      <c r="H52" s="23" t="s">
        <v>0</v>
      </c>
      <c r="I52" s="23" t="s">
        <v>1</v>
      </c>
      <c r="J52" s="24" t="s">
        <v>2</v>
      </c>
    </row>
    <row r="53" spans="1:10" ht="15.75" customHeight="1">
      <c r="A53" s="49"/>
      <c r="B53" s="30" t="s">
        <v>54</v>
      </c>
      <c r="C53" s="31">
        <v>25</v>
      </c>
      <c r="D53" s="31">
        <v>15</v>
      </c>
      <c r="E53" s="32">
        <f>Table724364860[Projected Cost]-Table724364860[Actual Cost]</f>
        <v>10</v>
      </c>
      <c r="F53" s="29"/>
      <c r="G53" s="26" t="s">
        <v>60</v>
      </c>
      <c r="H53" s="27">
        <v>50</v>
      </c>
      <c r="I53" s="27">
        <v>50</v>
      </c>
      <c r="J53" s="28">
        <f>Table1216284052[Projected Cost]-Table1216284052[Actual Cost]</f>
        <v>0</v>
      </c>
    </row>
    <row r="54" spans="1:10" ht="15.75" customHeight="1">
      <c r="A54" s="49"/>
      <c r="B54" s="26" t="s">
        <v>52</v>
      </c>
      <c r="C54" s="27">
        <v>30</v>
      </c>
      <c r="D54" s="27">
        <v>29</v>
      </c>
      <c r="E54" s="28">
        <f>Table724364860[Projected Cost]-Table724364860[Actual Cost]</f>
        <v>1</v>
      </c>
      <c r="F54" s="29"/>
      <c r="G54" s="30" t="s">
        <v>61</v>
      </c>
      <c r="H54" s="31"/>
      <c r="I54" s="31"/>
      <c r="J54" s="32">
        <f>Table1216284052[Projected Cost]-Table1216284052[Actual Cost]</f>
        <v>0</v>
      </c>
    </row>
    <row r="55" spans="1:10" ht="15.75" customHeight="1">
      <c r="A55" s="49"/>
      <c r="B55" s="30" t="s">
        <v>8</v>
      </c>
      <c r="C55" s="31"/>
      <c r="D55" s="31"/>
      <c r="E55" s="32">
        <f>Table724364860[Projected Cost]-Table724364860[Actual Cost]</f>
        <v>0</v>
      </c>
      <c r="F55" s="29"/>
      <c r="G55" s="26" t="s">
        <v>62</v>
      </c>
      <c r="H55" s="27"/>
      <c r="I55" s="27"/>
      <c r="J55" s="28">
        <f>Table1216284052[Projected Cost]-Table1216284052[Actual Cost]</f>
        <v>0</v>
      </c>
    </row>
    <row r="56" spans="1:10" ht="15.75" customHeight="1">
      <c r="A56" s="49"/>
      <c r="B56" s="26" t="s">
        <v>8</v>
      </c>
      <c r="C56" s="27"/>
      <c r="D56" s="27"/>
      <c r="E56" s="28">
        <f>Table724364860[Projected Cost]-Table724364860[Actual Cost]</f>
        <v>0</v>
      </c>
      <c r="F56" s="29"/>
      <c r="G56" s="30" t="s">
        <v>8</v>
      </c>
      <c r="H56" s="31"/>
      <c r="I56" s="31"/>
      <c r="J56" s="32">
        <f>Table1216284052[Projected Cost]-Table1216284052[Actual Cost]</f>
        <v>0</v>
      </c>
    </row>
    <row r="57" spans="1:10" ht="15.75" customHeight="1">
      <c r="A57" s="49"/>
      <c r="B57" s="22" t="s">
        <v>35</v>
      </c>
      <c r="C57" s="31">
        <f>SUBTOTAL(109,Table724364860[Projected Cost])</f>
        <v>80</v>
      </c>
      <c r="D57" s="31">
        <f>SUBTOTAL(109,Table724364860[Actual Cost])</f>
        <v>89</v>
      </c>
      <c r="E57" s="33">
        <f>SUBTOTAL(109,Table724364860[Difference])</f>
        <v>-9</v>
      </c>
      <c r="F57" s="29"/>
      <c r="G57" s="22" t="s">
        <v>35</v>
      </c>
      <c r="H57" s="31">
        <f>SUBTOTAL(109,Table1216284052[Projected Cost])</f>
        <v>50</v>
      </c>
      <c r="I57" s="31">
        <f>SUBTOTAL(109,Table1216284052[Actual Cost])</f>
        <v>50</v>
      </c>
      <c r="J57" s="33">
        <f>SUBTOTAL(109,Table1216284052[Difference])</f>
        <v>0</v>
      </c>
    </row>
    <row r="58" spans="1:10" ht="15.75" customHeight="1">
      <c r="A58" s="49"/>
      <c r="F58" s="29"/>
      <c r="G58" s="57"/>
      <c r="H58" s="57"/>
      <c r="I58" s="57"/>
      <c r="J58" s="57"/>
    </row>
    <row r="59" spans="1:10" ht="24.75" customHeight="1">
      <c r="A59" s="49"/>
      <c r="F59" s="36"/>
      <c r="G59" s="37" t="s">
        <v>33</v>
      </c>
      <c r="H59" s="38"/>
      <c r="I59" s="39"/>
      <c r="J59" s="40">
        <f>SUM(C18,C27,C34,C39,C47,C57,H22,H31,H38,H44,H50,H57)</f>
        <v>4000</v>
      </c>
    </row>
    <row r="60" spans="1:10" ht="27" customHeight="1">
      <c r="A60" s="49"/>
      <c r="F60" s="36"/>
      <c r="G60" s="37" t="s">
        <v>70</v>
      </c>
      <c r="H60" s="38"/>
      <c r="I60" s="39"/>
      <c r="J60" s="40">
        <f>SUM(D18,D27,D34,D39,D47,D57,I22,I31,I38,I44,I50,I57)</f>
        <v>3364</v>
      </c>
    </row>
    <row r="61" spans="1:10" ht="27.75" customHeight="1">
      <c r="A61" s="49"/>
      <c r="F61" s="36"/>
      <c r="G61" s="37" t="s">
        <v>34</v>
      </c>
      <c r="H61" s="38"/>
      <c r="I61" s="39"/>
      <c r="J61" s="40">
        <f>SUM(E18,E27,E34,E39,E47,E57,J22,J31,J38,J44,J50,J57)</f>
        <v>636</v>
      </c>
    </row>
    <row r="62" spans="1:10" ht="15.75" customHeight="1">
      <c r="A62" s="49"/>
      <c r="F62" s="36"/>
    </row>
    <row r="63" spans="1:10" ht="15.75" customHeight="1">
      <c r="G63" s="41" t="s">
        <v>65</v>
      </c>
      <c r="H63" s="42"/>
    </row>
    <row r="64" spans="1:10">
      <c r="G64" s="43" t="str">
        <f>Table114263850[[#Headers],[HOME]]</f>
        <v>HOME</v>
      </c>
      <c r="H64" s="44">
        <f>Table114263850[[#Totals],[Actual Cost]]</f>
        <v>1210</v>
      </c>
    </row>
    <row r="65" spans="7:8">
      <c r="G65" s="45" t="str">
        <f>Table321334557[[#Headers],[TRANSPORTATION]]</f>
        <v>TRANSPORTATION</v>
      </c>
      <c r="H65" s="46">
        <f>Table321334557[[#Totals],[Actual Cost]]</f>
        <v>310</v>
      </c>
    </row>
    <row r="66" spans="7:8">
      <c r="G66" s="41" t="str">
        <f>Table415273951[[#Headers],[UTILITIES]]</f>
        <v>UTILITIES</v>
      </c>
      <c r="H66" s="42">
        <f>Table415273951[[#Totals],[Actual Cost]]</f>
        <v>160</v>
      </c>
    </row>
    <row r="67" spans="7:8">
      <c r="G67" s="43" t="str">
        <f>Table519314355[[#Headers],[FOOD]]</f>
        <v>FOOD</v>
      </c>
      <c r="H67" s="44">
        <f>Table519314355[[#Totals],[Actual Cost]]</f>
        <v>400</v>
      </c>
    </row>
    <row r="68" spans="7:8">
      <c r="G68" s="45" t="str">
        <f>Table617294153[[#Headers],[CONNECTIONS]]</f>
        <v>CONNECTIONS</v>
      </c>
      <c r="H68" s="46">
        <f>Table617294153[[#Totals],[Actual Cost]]</f>
        <v>150</v>
      </c>
    </row>
    <row r="69" spans="7:8">
      <c r="G69" s="41" t="str">
        <f>Table724364860[[#Headers],[PERSONAL CARE]]</f>
        <v>PERSONAL CARE</v>
      </c>
      <c r="H69" s="42">
        <f>Table724364860[[#Totals],[Actual Cost]]</f>
        <v>89</v>
      </c>
    </row>
    <row r="70" spans="7:8">
      <c r="G70" s="43" t="str">
        <f>Table225374961[[#Headers],[ENTERTAINMENT]]</f>
        <v>ENTERTAINMENT</v>
      </c>
      <c r="H70" s="44">
        <f>Table225374961[[#Totals],[Actual Cost]]</f>
        <v>170</v>
      </c>
    </row>
    <row r="71" spans="7:8">
      <c r="G71" s="45" t="str">
        <f>Table822344658[[#Headers],[LOANS]]</f>
        <v>LOANS</v>
      </c>
      <c r="H71" s="46">
        <f>Table822344658[[#Totals],[Actual Cost]]</f>
        <v>500</v>
      </c>
    </row>
    <row r="72" spans="7:8">
      <c r="G72" s="41" t="str">
        <f>Table920324456[[#Headers],[TAXES]]</f>
        <v>TAXES</v>
      </c>
      <c r="H72" s="42">
        <f>Table920324456[[#Totals],[Actual Cost]]</f>
        <v>25</v>
      </c>
    </row>
    <row r="73" spans="7:8">
      <c r="G73" s="43" t="str">
        <f>Table1023354759[[#Headers],[SAVINGS OR INVESTMENTS]]</f>
        <v>SAVINGS OR INVESTMENTS</v>
      </c>
      <c r="H73" s="44">
        <f>Table1023354759[[#Totals],[Actual Cost]]</f>
        <v>250</v>
      </c>
    </row>
    <row r="74" spans="7:8">
      <c r="G74" s="45" t="str">
        <f>Table1118304254[[#Headers],[MEDICAL]]</f>
        <v>MEDICAL</v>
      </c>
      <c r="H74" s="46">
        <f>Table1118304254[[#Totals],[Actual Cost]]</f>
        <v>50</v>
      </c>
    </row>
    <row r="75" spans="7:8">
      <c r="G75" s="41" t="str">
        <f>Table1216284052[[#Headers],[MISC]]</f>
        <v>MISC</v>
      </c>
      <c r="H75" s="42">
        <f>Table1216284052[[#Totals],[Actual Cost]]</f>
        <v>50</v>
      </c>
    </row>
    <row r="76" spans="7:8">
      <c r="G76" s="43" t="s">
        <v>35</v>
      </c>
      <c r="H76" s="44">
        <f>SUM(H64:H75)</f>
        <v>3364</v>
      </c>
    </row>
  </sheetData>
  <mergeCells count="27">
    <mergeCell ref="B2:J2"/>
    <mergeCell ref="B3:D3"/>
    <mergeCell ref="B4:B7"/>
    <mergeCell ref="C4:D4"/>
    <mergeCell ref="G4:I6"/>
    <mergeCell ref="J4:J6"/>
    <mergeCell ref="C6:D6"/>
    <mergeCell ref="C7:D7"/>
    <mergeCell ref="G7:I8"/>
    <mergeCell ref="J7:J8"/>
    <mergeCell ref="G39:J39"/>
    <mergeCell ref="B8:B11"/>
    <mergeCell ref="C8:D8"/>
    <mergeCell ref="G9:I10"/>
    <mergeCell ref="J9:J10"/>
    <mergeCell ref="C10:D10"/>
    <mergeCell ref="C11:D11"/>
    <mergeCell ref="B19:E19"/>
    <mergeCell ref="G23:J23"/>
    <mergeCell ref="B28:E28"/>
    <mergeCell ref="G32:J32"/>
    <mergeCell ref="B35:E35"/>
    <mergeCell ref="B40:E40"/>
    <mergeCell ref="G45:J45"/>
    <mergeCell ref="B48:E48"/>
    <mergeCell ref="G51:J51"/>
    <mergeCell ref="G58:J58"/>
  </mergeCells>
  <conditionalFormatting sqref="J13:J22 E42:E47 E30:E34 E14:E18 E21:E27 E37:E39 E50:E57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76"/>
  <sheetViews>
    <sheetView showGridLines="0" topLeftCell="A31" workbookViewId="0">
      <selection activeCell="B54" sqref="B54"/>
    </sheetView>
  </sheetViews>
  <sheetFormatPr baseColWidth="10" defaultColWidth="8.83203125" defaultRowHeight="13" x14ac:dyDescent="0"/>
  <cols>
    <col min="1" max="1" width="1.6640625" style="35" customWidth="1"/>
    <col min="2" max="2" width="28.33203125" style="35" bestFit="1" customWidth="1"/>
    <col min="3" max="3" width="17.1640625" style="35" bestFit="1" customWidth="1"/>
    <col min="4" max="4" width="14" style="35" bestFit="1" customWidth="1"/>
    <col min="5" max="5" width="12.83203125" style="35" bestFit="1" customWidth="1"/>
    <col min="6" max="6" width="2.83203125" style="35" customWidth="1"/>
    <col min="7" max="7" width="27.5" style="35" bestFit="1" customWidth="1"/>
    <col min="8" max="8" width="17.1640625" style="35" bestFit="1" customWidth="1"/>
    <col min="9" max="9" width="14" style="35" bestFit="1" customWidth="1"/>
    <col min="10" max="10" width="12.83203125" style="35" bestFit="1" customWidth="1"/>
    <col min="11" max="16384" width="8.83203125" style="35"/>
  </cols>
  <sheetData>
    <row r="1" spans="1:10" ht="8" customHeight="1">
      <c r="A1" s="47"/>
      <c r="B1" s="48"/>
      <c r="C1" s="48"/>
      <c r="D1" s="48"/>
      <c r="E1" s="48"/>
      <c r="F1" s="48"/>
      <c r="G1" s="48"/>
      <c r="H1" s="48"/>
      <c r="I1" s="48"/>
      <c r="J1" s="49"/>
    </row>
    <row r="2" spans="1:10" ht="52" customHeight="1">
      <c r="A2" s="47"/>
      <c r="B2" s="68" t="s">
        <v>79</v>
      </c>
      <c r="C2" s="68"/>
      <c r="D2" s="68"/>
      <c r="E2" s="68"/>
      <c r="F2" s="68"/>
      <c r="G2" s="68"/>
      <c r="H2" s="68"/>
      <c r="I2" s="68"/>
      <c r="J2" s="68"/>
    </row>
    <row r="3" spans="1:10" ht="8" customHeight="1">
      <c r="A3" s="49"/>
      <c r="B3" s="69"/>
      <c r="C3" s="69"/>
      <c r="D3" s="69"/>
      <c r="E3" s="50"/>
      <c r="F3" s="13"/>
      <c r="G3" s="50"/>
      <c r="H3" s="51"/>
      <c r="I3" s="52"/>
      <c r="J3" s="53"/>
    </row>
    <row r="4" spans="1:10" ht="16" customHeight="1">
      <c r="A4" s="49"/>
      <c r="B4" s="63" t="s">
        <v>66</v>
      </c>
      <c r="C4" s="54" t="s">
        <v>3</v>
      </c>
      <c r="D4" s="55"/>
      <c r="E4" s="12">
        <v>2000</v>
      </c>
      <c r="F4" s="13"/>
      <c r="G4" s="59" t="s">
        <v>99</v>
      </c>
      <c r="H4" s="59"/>
      <c r="I4" s="59"/>
      <c r="J4" s="60">
        <f>E7-J59</f>
        <v>-1750</v>
      </c>
    </row>
    <row r="5" spans="1:10" ht="16" customHeight="1">
      <c r="A5" s="49"/>
      <c r="B5" s="64"/>
      <c r="C5" s="14" t="s">
        <v>67</v>
      </c>
      <c r="D5" s="15"/>
      <c r="E5" s="12">
        <v>1000</v>
      </c>
      <c r="F5" s="13"/>
      <c r="G5" s="59"/>
      <c r="H5" s="59"/>
      <c r="I5" s="59"/>
      <c r="J5" s="60"/>
    </row>
    <row r="6" spans="1:10" ht="16" customHeight="1">
      <c r="A6" s="49"/>
      <c r="B6" s="64"/>
      <c r="C6" s="54" t="s">
        <v>64</v>
      </c>
      <c r="D6" s="55"/>
      <c r="E6" s="12">
        <v>250</v>
      </c>
      <c r="F6" s="13"/>
      <c r="G6" s="59"/>
      <c r="H6" s="59"/>
      <c r="I6" s="59"/>
      <c r="J6" s="60"/>
    </row>
    <row r="7" spans="1:10" ht="16" customHeight="1">
      <c r="A7" s="49"/>
      <c r="B7" s="65"/>
      <c r="C7" s="61" t="s">
        <v>18</v>
      </c>
      <c r="D7" s="62"/>
      <c r="E7" s="16">
        <f>SUM(E4:E6)</f>
        <v>3250</v>
      </c>
      <c r="F7" s="13"/>
      <c r="G7" s="59" t="s">
        <v>100</v>
      </c>
      <c r="H7" s="59"/>
      <c r="I7" s="59"/>
      <c r="J7" s="60">
        <f>E11-J60</f>
        <v>-564</v>
      </c>
    </row>
    <row r="8" spans="1:10" ht="16" customHeight="1">
      <c r="A8" s="49"/>
      <c r="B8" s="63" t="s">
        <v>32</v>
      </c>
      <c r="C8" s="54" t="s">
        <v>3</v>
      </c>
      <c r="D8" s="55"/>
      <c r="E8" s="12">
        <v>2500</v>
      </c>
      <c r="F8" s="13"/>
      <c r="G8" s="59"/>
      <c r="H8" s="59"/>
      <c r="I8" s="59"/>
      <c r="J8" s="60"/>
    </row>
    <row r="9" spans="1:10" ht="16" customHeight="1">
      <c r="A9" s="49"/>
      <c r="B9" s="64"/>
      <c r="C9" s="14" t="s">
        <v>67</v>
      </c>
      <c r="D9" s="15"/>
      <c r="E9" s="12">
        <v>1000</v>
      </c>
      <c r="F9" s="13"/>
      <c r="G9" s="59" t="s">
        <v>101</v>
      </c>
      <c r="H9" s="59"/>
      <c r="I9" s="59"/>
      <c r="J9" s="60">
        <f>J7-J4</f>
        <v>1186</v>
      </c>
    </row>
    <row r="10" spans="1:10" ht="16" customHeight="1">
      <c r="A10" s="49"/>
      <c r="B10" s="64"/>
      <c r="C10" s="54" t="s">
        <v>64</v>
      </c>
      <c r="D10" s="55"/>
      <c r="E10" s="12">
        <v>500</v>
      </c>
      <c r="F10" s="13"/>
      <c r="G10" s="59"/>
      <c r="H10" s="59"/>
      <c r="I10" s="59"/>
      <c r="J10" s="60"/>
    </row>
    <row r="11" spans="1:10" ht="16" customHeight="1">
      <c r="A11" s="49"/>
      <c r="B11" s="65"/>
      <c r="C11" s="61" t="s">
        <v>18</v>
      </c>
      <c r="D11" s="62"/>
      <c r="E11" s="16">
        <f>SUM(E8:E10)</f>
        <v>4000</v>
      </c>
      <c r="F11" s="13"/>
      <c r="G11" s="17"/>
      <c r="H11" s="17"/>
      <c r="I11" s="17"/>
      <c r="J11" s="18"/>
    </row>
    <row r="12" spans="1:10" ht="16" customHeight="1">
      <c r="A12" s="49"/>
      <c r="B12" s="19"/>
      <c r="C12" s="19"/>
      <c r="D12" s="20"/>
      <c r="E12" s="21"/>
      <c r="F12" s="13"/>
      <c r="G12" s="22" t="s">
        <v>25</v>
      </c>
      <c r="H12" s="23" t="s">
        <v>0</v>
      </c>
      <c r="I12" s="23" t="s">
        <v>1</v>
      </c>
      <c r="J12" s="24" t="s">
        <v>2</v>
      </c>
    </row>
    <row r="13" spans="1:10" ht="16" customHeight="1">
      <c r="A13" s="49"/>
      <c r="B13" s="22" t="s">
        <v>37</v>
      </c>
      <c r="C13" s="23" t="s">
        <v>0</v>
      </c>
      <c r="D13" s="23" t="s">
        <v>1</v>
      </c>
      <c r="E13" s="24" t="s">
        <v>2</v>
      </c>
      <c r="F13" s="25"/>
      <c r="G13" s="26" t="s">
        <v>40</v>
      </c>
      <c r="H13" s="27">
        <v>20</v>
      </c>
      <c r="I13" s="27">
        <v>50</v>
      </c>
      <c r="J13" s="28">
        <f>Table2253749[Projected Cost]-Table2253749[Actual Cost]</f>
        <v>-30</v>
      </c>
    </row>
    <row r="14" spans="1:10" ht="15.75" customHeight="1">
      <c r="A14" s="49"/>
      <c r="B14" s="26" t="s">
        <v>4</v>
      </c>
      <c r="C14" s="27">
        <v>1000</v>
      </c>
      <c r="D14" s="27">
        <v>1010</v>
      </c>
      <c r="E14" s="28">
        <f>Table1142638[Projected Cost]-Table1142638[Actual Cost]</f>
        <v>-10</v>
      </c>
      <c r="F14" s="29"/>
      <c r="G14" s="30" t="s">
        <v>41</v>
      </c>
      <c r="H14" s="31"/>
      <c r="I14" s="31"/>
      <c r="J14" s="32">
        <f>Table2253749[Projected Cost]-Table2253749[Actual Cost]</f>
        <v>0</v>
      </c>
    </row>
    <row r="15" spans="1:10" ht="15.75" customHeight="1">
      <c r="A15" s="49"/>
      <c r="B15" s="30" t="s">
        <v>6</v>
      </c>
      <c r="C15" s="31">
        <v>100</v>
      </c>
      <c r="D15" s="31">
        <v>200</v>
      </c>
      <c r="E15" s="32">
        <f>Table1142638[Projected Cost]-Table1142638[Actual Cost]</f>
        <v>-100</v>
      </c>
      <c r="F15" s="29"/>
      <c r="G15" s="26" t="s">
        <v>13</v>
      </c>
      <c r="H15" s="27">
        <v>25</v>
      </c>
      <c r="I15" s="27">
        <v>45</v>
      </c>
      <c r="J15" s="28">
        <f>Table2253749[Projected Cost]-Table2253749[Actual Cost]</f>
        <v>-20</v>
      </c>
    </row>
    <row r="16" spans="1:10" ht="15.75" customHeight="1">
      <c r="A16" s="49"/>
      <c r="B16" s="26" t="s">
        <v>7</v>
      </c>
      <c r="C16" s="27"/>
      <c r="D16" s="27"/>
      <c r="E16" s="28">
        <f>Table1142638[Projected Cost]-Table1142638[Actual Cost]</f>
        <v>0</v>
      </c>
      <c r="F16" s="29"/>
      <c r="G16" s="30" t="s">
        <v>14</v>
      </c>
      <c r="H16" s="31"/>
      <c r="I16" s="31"/>
      <c r="J16" s="32">
        <f>Table2253749[Projected Cost]-Table2253749[Actual Cost]</f>
        <v>0</v>
      </c>
    </row>
    <row r="17" spans="1:10" ht="15.75" customHeight="1">
      <c r="A17" s="49"/>
      <c r="B17" s="30" t="s">
        <v>8</v>
      </c>
      <c r="C17" s="31"/>
      <c r="D17" s="31"/>
      <c r="E17" s="32">
        <f>Table1142638[Projected Cost]-Table1142638[Actual Cost]</f>
        <v>0</v>
      </c>
      <c r="F17" s="29"/>
      <c r="G17" s="26" t="s">
        <v>21</v>
      </c>
      <c r="H17" s="27"/>
      <c r="I17" s="27"/>
      <c r="J17" s="28">
        <f>Table2253749[Projected Cost]-Table2253749[Actual Cost]</f>
        <v>0</v>
      </c>
    </row>
    <row r="18" spans="1:10" ht="15.75" customHeight="1">
      <c r="A18" s="49"/>
      <c r="B18" s="22" t="s">
        <v>35</v>
      </c>
      <c r="C18" s="31">
        <f>SUBTOTAL(109,Table1142638[Projected Cost])</f>
        <v>1100</v>
      </c>
      <c r="D18" s="31">
        <f>SUBTOTAL(109,Table1142638[Actual Cost])</f>
        <v>1210</v>
      </c>
      <c r="E18" s="33">
        <f>SUBTOTAL(109,Table1142638[Difference])</f>
        <v>-110</v>
      </c>
      <c r="F18" s="29"/>
      <c r="G18" s="30" t="s">
        <v>42</v>
      </c>
      <c r="H18" s="31">
        <v>50</v>
      </c>
      <c r="I18" s="31">
        <v>75</v>
      </c>
      <c r="J18" s="32">
        <f>Table2253749[Projected Cost]-Table2253749[Actual Cost]</f>
        <v>-25</v>
      </c>
    </row>
    <row r="19" spans="1:10" ht="15.75" customHeight="1">
      <c r="A19" s="49"/>
      <c r="B19" s="56"/>
      <c r="C19" s="56"/>
      <c r="D19" s="56"/>
      <c r="E19" s="56"/>
      <c r="F19" s="29"/>
      <c r="G19" s="26" t="s">
        <v>47</v>
      </c>
      <c r="H19" s="27"/>
      <c r="I19" s="27"/>
      <c r="J19" s="28">
        <f>Table2253749[Projected Cost]-Table2253749[Actual Cost]</f>
        <v>0</v>
      </c>
    </row>
    <row r="20" spans="1:10" ht="15.75" customHeight="1">
      <c r="A20" s="49"/>
      <c r="B20" s="22" t="s">
        <v>27</v>
      </c>
      <c r="C20" s="23" t="s">
        <v>0</v>
      </c>
      <c r="D20" s="23" t="s">
        <v>1</v>
      </c>
      <c r="E20" s="24" t="s">
        <v>2</v>
      </c>
      <c r="F20" s="29"/>
      <c r="G20" s="30" t="s">
        <v>87</v>
      </c>
      <c r="H20" s="31">
        <v>1000</v>
      </c>
      <c r="I20" s="31">
        <v>1200</v>
      </c>
      <c r="J20" s="32">
        <f>Table2253749[Projected Cost]-Table2253749[Actual Cost]</f>
        <v>-200</v>
      </c>
    </row>
    <row r="21" spans="1:10" ht="15.75" customHeight="1">
      <c r="A21" s="49"/>
      <c r="B21" s="26" t="s">
        <v>20</v>
      </c>
      <c r="C21" s="27">
        <v>250</v>
      </c>
      <c r="D21" s="27">
        <v>250</v>
      </c>
      <c r="E21" s="28">
        <f>Table3213345[Projected Cost]-Table3213345[Actual Cost]</f>
        <v>0</v>
      </c>
      <c r="F21" s="29"/>
      <c r="G21" s="26" t="s">
        <v>8</v>
      </c>
      <c r="H21" s="27"/>
      <c r="I21" s="27"/>
      <c r="J21" s="28">
        <f>Table2253749[Projected Cost]-Table2253749[Actual Cost]</f>
        <v>0</v>
      </c>
    </row>
    <row r="22" spans="1:10" ht="15.75" customHeight="1">
      <c r="A22" s="49"/>
      <c r="B22" s="30" t="s">
        <v>51</v>
      </c>
      <c r="C22" s="31"/>
      <c r="D22" s="31"/>
      <c r="E22" s="32">
        <f>Table3213345[Projected Cost]-Table3213345[Actual Cost]</f>
        <v>0</v>
      </c>
      <c r="F22" s="29"/>
      <c r="G22" s="22" t="s">
        <v>35</v>
      </c>
      <c r="H22" s="34">
        <f>SUBTOTAL(109,Table2253749[Projected Cost])</f>
        <v>1095</v>
      </c>
      <c r="I22" s="31">
        <f>SUBTOTAL(109,Table2253749[Actual Cost])</f>
        <v>1370</v>
      </c>
      <c r="J22" s="33">
        <f>SUBTOTAL(109,Table2253749[Difference])</f>
        <v>-275</v>
      </c>
    </row>
    <row r="23" spans="1:10" ht="15.75" customHeight="1">
      <c r="A23" s="49"/>
      <c r="B23" s="26" t="s">
        <v>9</v>
      </c>
      <c r="C23" s="27"/>
      <c r="D23" s="27"/>
      <c r="E23" s="28">
        <f>Table3213345[Projected Cost]-Table3213345[Actual Cost]</f>
        <v>0</v>
      </c>
      <c r="F23" s="29"/>
      <c r="G23" s="67"/>
      <c r="H23" s="67"/>
      <c r="I23" s="67"/>
      <c r="J23" s="67"/>
    </row>
    <row r="24" spans="1:10" ht="15.75" customHeight="1">
      <c r="A24" s="49"/>
      <c r="B24" s="30" t="s">
        <v>5</v>
      </c>
      <c r="C24" s="31">
        <v>50</v>
      </c>
      <c r="D24" s="31">
        <v>60</v>
      </c>
      <c r="E24" s="32">
        <f>Table3213345[Projected Cost]-Table3213345[Actual Cost]</f>
        <v>-10</v>
      </c>
      <c r="F24" s="29"/>
      <c r="G24" s="22" t="s">
        <v>26</v>
      </c>
      <c r="H24" s="23" t="s">
        <v>0</v>
      </c>
      <c r="I24" s="23" t="s">
        <v>1</v>
      </c>
      <c r="J24" s="24" t="s">
        <v>2</v>
      </c>
    </row>
    <row r="25" spans="1:10" ht="15.75" customHeight="1">
      <c r="A25" s="49"/>
      <c r="B25" s="26" t="s">
        <v>10</v>
      </c>
      <c r="C25" s="27"/>
      <c r="D25" s="27"/>
      <c r="E25" s="28">
        <f>Table3213345[Projected Cost]-Table3213345[Actual Cost]</f>
        <v>0</v>
      </c>
      <c r="F25" s="29"/>
      <c r="G25" s="26" t="s">
        <v>43</v>
      </c>
      <c r="H25" s="27">
        <v>400</v>
      </c>
      <c r="I25" s="27">
        <v>400</v>
      </c>
      <c r="J25" s="28">
        <f>Table8223446[Projected Cost]-Table8223446[Actual Cost]</f>
        <v>0</v>
      </c>
    </row>
    <row r="26" spans="1:10" ht="15.75" customHeight="1">
      <c r="A26" s="49"/>
      <c r="B26" s="30" t="s">
        <v>8</v>
      </c>
      <c r="C26" s="31"/>
      <c r="D26" s="31"/>
      <c r="E26" s="32">
        <f>Table3213345[Projected Cost]-Table3213345[Actual Cost]</f>
        <v>0</v>
      </c>
      <c r="F26" s="29"/>
      <c r="G26" s="30" t="s">
        <v>44</v>
      </c>
      <c r="H26" s="31"/>
      <c r="I26" s="31"/>
      <c r="J26" s="32">
        <f>Table8223446[Projected Cost]-Table8223446[Actual Cost]</f>
        <v>0</v>
      </c>
    </row>
    <row r="27" spans="1:10" ht="15.75" customHeight="1">
      <c r="A27" s="49"/>
      <c r="B27" s="22" t="s">
        <v>35</v>
      </c>
      <c r="C27" s="31">
        <f>SUBTOTAL(109,Table3213345[Projected Cost])</f>
        <v>300</v>
      </c>
      <c r="D27" s="31">
        <f>SUBTOTAL(109,Table3213345[Actual Cost])</f>
        <v>310</v>
      </c>
      <c r="E27" s="33">
        <f>SUBTOTAL(109,Table3213345[Difference])</f>
        <v>-10</v>
      </c>
      <c r="F27" s="29"/>
      <c r="G27" s="26" t="s">
        <v>22</v>
      </c>
      <c r="H27" s="27"/>
      <c r="I27" s="27"/>
      <c r="J27" s="28">
        <f>Table8223446[Projected Cost]-Table8223446[Actual Cost]</f>
        <v>0</v>
      </c>
    </row>
    <row r="28" spans="1:10" ht="15.75" customHeight="1">
      <c r="A28" s="49"/>
      <c r="B28" s="56"/>
      <c r="C28" s="56"/>
      <c r="D28" s="56"/>
      <c r="E28" s="56"/>
      <c r="F28" s="29"/>
      <c r="G28" s="30" t="s">
        <v>22</v>
      </c>
      <c r="H28" s="31"/>
      <c r="I28" s="31"/>
      <c r="J28" s="32">
        <f>Table8223446[Projected Cost]-Table8223446[Actual Cost]</f>
        <v>0</v>
      </c>
    </row>
    <row r="29" spans="1:10" ht="15.75" customHeight="1">
      <c r="A29" s="49"/>
      <c r="B29" s="22" t="s">
        <v>36</v>
      </c>
      <c r="C29" s="23" t="s">
        <v>0</v>
      </c>
      <c r="D29" s="23" t="s">
        <v>1</v>
      </c>
      <c r="E29" s="24" t="s">
        <v>2</v>
      </c>
      <c r="F29" s="29"/>
      <c r="G29" s="26" t="s">
        <v>22</v>
      </c>
      <c r="H29" s="27">
        <v>100</v>
      </c>
      <c r="I29" s="27">
        <v>100</v>
      </c>
      <c r="J29" s="28">
        <f>Table8223446[Projected Cost]-Table8223446[Actual Cost]</f>
        <v>0</v>
      </c>
    </row>
    <row r="30" spans="1:10" ht="15.75" customHeight="1">
      <c r="A30" s="49"/>
      <c r="B30" s="26" t="s">
        <v>5</v>
      </c>
      <c r="C30" s="27">
        <v>50</v>
      </c>
      <c r="D30" s="27">
        <v>50</v>
      </c>
      <c r="E30" s="28">
        <f>Table4152739[Projected Cost]-Table4152739[Actual Cost]</f>
        <v>0</v>
      </c>
      <c r="F30" s="29"/>
      <c r="G30" s="30" t="s">
        <v>8</v>
      </c>
      <c r="H30" s="31"/>
      <c r="I30" s="31"/>
      <c r="J30" s="32">
        <f>Table8223446[Projected Cost]-Table8223446[Actual Cost]</f>
        <v>0</v>
      </c>
    </row>
    <row r="31" spans="1:10" ht="15.75" customHeight="1">
      <c r="A31" s="49"/>
      <c r="B31" s="30" t="s">
        <v>38</v>
      </c>
      <c r="C31" s="31">
        <v>100</v>
      </c>
      <c r="D31" s="31">
        <v>110</v>
      </c>
      <c r="E31" s="32">
        <f>Table4152739[Projected Cost]-Table4152739[Actual Cost]</f>
        <v>-10</v>
      </c>
      <c r="F31" s="29"/>
      <c r="G31" s="22" t="s">
        <v>35</v>
      </c>
      <c r="H31" s="31">
        <f>SUBTOTAL(109,Table8223446[Projected Cost])</f>
        <v>500</v>
      </c>
      <c r="I31" s="31">
        <f>SUBTOTAL(109,Table8223446[Actual Cost])</f>
        <v>500</v>
      </c>
      <c r="J31" s="33">
        <f>SUBTOTAL(109,Table8223446[Difference])</f>
        <v>0</v>
      </c>
    </row>
    <row r="32" spans="1:10" ht="15.75" customHeight="1">
      <c r="A32" s="49"/>
      <c r="B32" s="26" t="s">
        <v>39</v>
      </c>
      <c r="C32" s="27"/>
      <c r="D32" s="27"/>
      <c r="E32" s="28">
        <f>Table4152739[Projected Cost]-Table4152739[Actual Cost]</f>
        <v>0</v>
      </c>
      <c r="F32" s="29"/>
      <c r="G32" s="56"/>
      <c r="H32" s="56"/>
      <c r="I32" s="56"/>
      <c r="J32" s="56"/>
    </row>
    <row r="33" spans="1:10" ht="15.75" customHeight="1">
      <c r="A33" s="49"/>
      <c r="B33" s="30" t="s">
        <v>19</v>
      </c>
      <c r="C33" s="31"/>
      <c r="D33" s="31"/>
      <c r="E33" s="32">
        <f>Table4152739[Projected Cost]-Table4152739[Actual Cost]</f>
        <v>0</v>
      </c>
      <c r="F33" s="29"/>
      <c r="G33" s="22" t="s">
        <v>28</v>
      </c>
      <c r="H33" s="23" t="s">
        <v>0</v>
      </c>
      <c r="I33" s="23" t="s">
        <v>1</v>
      </c>
      <c r="J33" s="24" t="s">
        <v>2</v>
      </c>
    </row>
    <row r="34" spans="1:10" ht="15.75" customHeight="1">
      <c r="A34" s="49"/>
      <c r="B34" s="22" t="s">
        <v>35</v>
      </c>
      <c r="C34" s="31">
        <f>SUBTOTAL(109,Table4152739[Projected Cost])</f>
        <v>150</v>
      </c>
      <c r="D34" s="31">
        <f>SUBTOTAL(109,Table4152739[Actual Cost])</f>
        <v>160</v>
      </c>
      <c r="E34" s="33">
        <f>SUBTOTAL(109,Table4152739[Difference])</f>
        <v>-10</v>
      </c>
      <c r="F34" s="29"/>
      <c r="G34" s="26" t="s">
        <v>15</v>
      </c>
      <c r="H34" s="27">
        <v>25</v>
      </c>
      <c r="I34" s="27">
        <v>25</v>
      </c>
      <c r="J34" s="28">
        <f>Table9203244[Projected Cost]-Table9203244[Actual Cost]</f>
        <v>0</v>
      </c>
    </row>
    <row r="35" spans="1:10" ht="15.75" customHeight="1">
      <c r="A35" s="49"/>
      <c r="B35" s="56"/>
      <c r="C35" s="56"/>
      <c r="D35" s="56"/>
      <c r="E35" s="56"/>
      <c r="F35" s="29"/>
      <c r="G35" s="30" t="s">
        <v>16</v>
      </c>
      <c r="H35" s="31"/>
      <c r="I35" s="31"/>
      <c r="J35" s="32">
        <f>Table9203244[Projected Cost]-Table9203244[Actual Cost]</f>
        <v>0</v>
      </c>
    </row>
    <row r="36" spans="1:10" ht="15.75" customHeight="1">
      <c r="A36" s="49"/>
      <c r="B36" s="22" t="s">
        <v>29</v>
      </c>
      <c r="C36" s="23" t="s">
        <v>0</v>
      </c>
      <c r="D36" s="23" t="s">
        <v>1</v>
      </c>
      <c r="E36" s="24" t="s">
        <v>2</v>
      </c>
      <c r="F36" s="29"/>
      <c r="G36" s="26" t="s">
        <v>17</v>
      </c>
      <c r="H36" s="27"/>
      <c r="I36" s="27"/>
      <c r="J36" s="28">
        <f>Table9203244[Projected Cost]-Table9203244[Actual Cost]</f>
        <v>0</v>
      </c>
    </row>
    <row r="37" spans="1:10" ht="15.75" customHeight="1">
      <c r="A37" s="49"/>
      <c r="B37" s="26" t="s">
        <v>11</v>
      </c>
      <c r="C37" s="27">
        <v>500</v>
      </c>
      <c r="D37" s="27">
        <v>400</v>
      </c>
      <c r="E37" s="28">
        <f>Table5193143[Projected Cost]-Table5193143[Actual Cost]</f>
        <v>100</v>
      </c>
      <c r="F37" s="29"/>
      <c r="G37" s="30" t="s">
        <v>8</v>
      </c>
      <c r="H37" s="31"/>
      <c r="I37" s="31"/>
      <c r="J37" s="32">
        <f>Table9203244[Projected Cost]-Table9203244[Actual Cost]</f>
        <v>0</v>
      </c>
    </row>
    <row r="38" spans="1:10" ht="15.75" customHeight="1">
      <c r="A38" s="49"/>
      <c r="B38" s="30" t="s">
        <v>8</v>
      </c>
      <c r="C38" s="31"/>
      <c r="D38" s="31"/>
      <c r="E38" s="32">
        <f>Table5193143[Projected Cost]-Table5193143[Actual Cost]</f>
        <v>0</v>
      </c>
      <c r="F38" s="29"/>
      <c r="G38" s="22" t="s">
        <v>35</v>
      </c>
      <c r="H38" s="31">
        <f>SUBTOTAL(109,Table9203244[Projected Cost])</f>
        <v>25</v>
      </c>
      <c r="I38" s="31">
        <f>SUBTOTAL(109,Table9203244[Actual Cost])</f>
        <v>25</v>
      </c>
      <c r="J38" s="33">
        <f>SUBTOTAL(109,Table9203244[Difference])</f>
        <v>0</v>
      </c>
    </row>
    <row r="39" spans="1:10" ht="15.75" customHeight="1">
      <c r="A39" s="49"/>
      <c r="B39" s="22" t="s">
        <v>35</v>
      </c>
      <c r="C39" s="31">
        <f>SUBTOTAL(109,Table5193143[Projected Cost])</f>
        <v>500</v>
      </c>
      <c r="D39" s="31">
        <f>SUBTOTAL(109,Table5193143[Actual Cost])</f>
        <v>400</v>
      </c>
      <c r="E39" s="33">
        <f>SUBTOTAL(109,Table5193143[Difference])</f>
        <v>100</v>
      </c>
      <c r="F39" s="29"/>
      <c r="G39" s="56"/>
      <c r="H39" s="56"/>
      <c r="I39" s="56"/>
      <c r="J39" s="56"/>
    </row>
    <row r="40" spans="1:10" ht="15.75" customHeight="1">
      <c r="A40" s="49"/>
      <c r="B40" s="56"/>
      <c r="C40" s="56"/>
      <c r="D40" s="56"/>
      <c r="E40" s="56"/>
      <c r="F40" s="29"/>
      <c r="G40" s="22" t="s">
        <v>30</v>
      </c>
      <c r="H40" s="23" t="s">
        <v>0</v>
      </c>
      <c r="I40" s="23" t="s">
        <v>1</v>
      </c>
      <c r="J40" s="24" t="s">
        <v>2</v>
      </c>
    </row>
    <row r="41" spans="1:10" ht="15.75" customHeight="1">
      <c r="A41" s="49"/>
      <c r="B41" s="22" t="s">
        <v>48</v>
      </c>
      <c r="C41" s="23" t="s">
        <v>0</v>
      </c>
      <c r="D41" s="23" t="s">
        <v>1</v>
      </c>
      <c r="E41" s="24" t="s">
        <v>2</v>
      </c>
      <c r="F41" s="29"/>
      <c r="G41" s="26" t="s">
        <v>23</v>
      </c>
      <c r="H41" s="27"/>
      <c r="I41" s="27"/>
      <c r="J41" s="28">
        <f>Table10233547[Projected Cost]-Table10233547[Actual Cost]</f>
        <v>0</v>
      </c>
    </row>
    <row r="42" spans="1:10" ht="15.75" customHeight="1">
      <c r="A42" s="49"/>
      <c r="B42" s="26" t="s">
        <v>45</v>
      </c>
      <c r="C42" s="27">
        <v>50</v>
      </c>
      <c r="D42" s="27">
        <v>50</v>
      </c>
      <c r="E42" s="28">
        <f>Table6172941[Projected Cost]-Table6172941[Actual Cost]</f>
        <v>0</v>
      </c>
      <c r="F42" s="29"/>
      <c r="G42" s="30" t="s">
        <v>24</v>
      </c>
      <c r="H42" s="31"/>
      <c r="I42" s="31"/>
      <c r="J42" s="32">
        <f>Table10233547[Projected Cost]-Table10233547[Actual Cost]</f>
        <v>0</v>
      </c>
    </row>
    <row r="43" spans="1:10" ht="15.75" customHeight="1">
      <c r="A43" s="49"/>
      <c r="B43" s="30" t="s">
        <v>46</v>
      </c>
      <c r="C43" s="31"/>
      <c r="D43" s="31"/>
      <c r="E43" s="32">
        <f>Table6172941[Projected Cost]-Table6172941[Actual Cost]</f>
        <v>0</v>
      </c>
      <c r="F43" s="29"/>
      <c r="G43" s="26" t="s">
        <v>63</v>
      </c>
      <c r="H43" s="27">
        <v>1000</v>
      </c>
      <c r="I43" s="27">
        <v>250</v>
      </c>
      <c r="J43" s="28">
        <f>Table10233547[Projected Cost]-Table10233547[Actual Cost]</f>
        <v>750</v>
      </c>
    </row>
    <row r="44" spans="1:10" ht="15.75" customHeight="1">
      <c r="A44" s="49"/>
      <c r="B44" s="26" t="s">
        <v>49</v>
      </c>
      <c r="C44" s="27">
        <v>25</v>
      </c>
      <c r="D44" s="27">
        <v>0</v>
      </c>
      <c r="E44" s="28">
        <f>Table6172941[Projected Cost]-Table6172941[Actual Cost]</f>
        <v>25</v>
      </c>
      <c r="F44" s="29"/>
      <c r="G44" s="22" t="s">
        <v>35</v>
      </c>
      <c r="H44" s="31">
        <f>SUBTOTAL(109,Table10233547[Projected Cost])</f>
        <v>1000</v>
      </c>
      <c r="I44" s="31">
        <f>SUBTOTAL(109,Table10233547[Actual Cost])</f>
        <v>250</v>
      </c>
      <c r="J44" s="33">
        <f>SUBTOTAL(109,Table10233547[Difference])</f>
        <v>750</v>
      </c>
    </row>
    <row r="45" spans="1:10" ht="15.75" customHeight="1">
      <c r="A45" s="49"/>
      <c r="B45" s="30" t="s">
        <v>50</v>
      </c>
      <c r="C45" s="31">
        <v>50</v>
      </c>
      <c r="D45" s="31">
        <v>100</v>
      </c>
      <c r="E45" s="32">
        <f>Table6172941[Projected Cost]-Table6172941[Actual Cost]</f>
        <v>-50</v>
      </c>
      <c r="F45" s="29"/>
      <c r="G45" s="56"/>
      <c r="H45" s="56"/>
      <c r="I45" s="56"/>
      <c r="J45" s="56"/>
    </row>
    <row r="46" spans="1:10" ht="15.75" customHeight="1">
      <c r="A46" s="49"/>
      <c r="B46" s="26" t="s">
        <v>8</v>
      </c>
      <c r="C46" s="27"/>
      <c r="D46" s="27"/>
      <c r="E46" s="28">
        <f>Table6172941[Projected Cost]-Table6172941[Actual Cost]</f>
        <v>0</v>
      </c>
      <c r="F46" s="29"/>
      <c r="G46" s="22" t="s">
        <v>53</v>
      </c>
      <c r="H46" s="23" t="s">
        <v>0</v>
      </c>
      <c r="I46" s="23" t="s">
        <v>1</v>
      </c>
      <c r="J46" s="24" t="s">
        <v>2</v>
      </c>
    </row>
    <row r="47" spans="1:10" ht="15.75" customHeight="1">
      <c r="A47" s="49"/>
      <c r="B47" s="22" t="s">
        <v>35</v>
      </c>
      <c r="C47" s="31">
        <f>SUBTOTAL(109,Table6172941[Projected Cost])</f>
        <v>125</v>
      </c>
      <c r="D47" s="31">
        <f>SUBTOTAL(109,Table6172941[Actual Cost])</f>
        <v>150</v>
      </c>
      <c r="E47" s="33">
        <f>SUBTOTAL(109,Table6172941[Difference])</f>
        <v>-25</v>
      </c>
      <c r="F47" s="29"/>
      <c r="G47" s="26" t="s">
        <v>9</v>
      </c>
      <c r="H47" s="27"/>
      <c r="I47" s="27"/>
      <c r="J47" s="28">
        <f>Table11183042[Projected Cost]-Table11183042[Actual Cost]</f>
        <v>0</v>
      </c>
    </row>
    <row r="48" spans="1:10" ht="15.75" customHeight="1">
      <c r="A48" s="49"/>
      <c r="B48" s="56"/>
      <c r="C48" s="56"/>
      <c r="D48" s="56"/>
      <c r="E48" s="56"/>
      <c r="F48" s="29"/>
      <c r="G48" s="30" t="s">
        <v>57</v>
      </c>
      <c r="H48" s="31"/>
      <c r="I48" s="31"/>
      <c r="J48" s="32">
        <f>Table11183042[Projected Cost]-Table11183042[Actual Cost]</f>
        <v>0</v>
      </c>
    </row>
    <row r="49" spans="1:10" ht="15.75" customHeight="1">
      <c r="A49" s="49"/>
      <c r="B49" s="22" t="s">
        <v>31</v>
      </c>
      <c r="C49" s="23" t="s">
        <v>0</v>
      </c>
      <c r="D49" s="23" t="s">
        <v>1</v>
      </c>
      <c r="E49" s="24" t="s">
        <v>2</v>
      </c>
      <c r="F49" s="29"/>
      <c r="G49" s="26" t="s">
        <v>58</v>
      </c>
      <c r="H49" s="27">
        <v>75</v>
      </c>
      <c r="I49" s="27">
        <v>50</v>
      </c>
      <c r="J49" s="28">
        <f>Table11183042[Projected Cost]-Table11183042[Actual Cost]</f>
        <v>25</v>
      </c>
    </row>
    <row r="50" spans="1:10" ht="15.75" customHeight="1">
      <c r="A50" s="49"/>
      <c r="B50" s="26" t="s">
        <v>55</v>
      </c>
      <c r="C50" s="27">
        <v>15</v>
      </c>
      <c r="D50" s="27">
        <v>25</v>
      </c>
      <c r="E50" s="28">
        <f>Table7243648[Projected Cost]-Table7243648[Actual Cost]</f>
        <v>-10</v>
      </c>
      <c r="F50" s="29"/>
      <c r="G50" s="22" t="s">
        <v>35</v>
      </c>
      <c r="H50" s="31">
        <f>SUBTOTAL(109,Table11183042[Projected Cost])</f>
        <v>75</v>
      </c>
      <c r="I50" s="31">
        <f>SUBTOTAL(109,Table11183042[Actual Cost])</f>
        <v>50</v>
      </c>
      <c r="J50" s="33">
        <f>SUBTOTAL(109,Table11183042[Difference])</f>
        <v>25</v>
      </c>
    </row>
    <row r="51" spans="1:10" ht="15.75" customHeight="1">
      <c r="A51" s="49"/>
      <c r="B51" s="30" t="s">
        <v>56</v>
      </c>
      <c r="C51" s="31">
        <v>10</v>
      </c>
      <c r="D51" s="31">
        <v>20</v>
      </c>
      <c r="E51" s="32">
        <f>Table7243648[Projected Cost]-Table7243648[Actual Cost]</f>
        <v>-10</v>
      </c>
      <c r="F51" s="29"/>
      <c r="G51" s="56"/>
      <c r="H51" s="56"/>
      <c r="I51" s="56"/>
      <c r="J51" s="56"/>
    </row>
    <row r="52" spans="1:10" ht="15.75" customHeight="1">
      <c r="A52" s="49"/>
      <c r="B52" s="26" t="s">
        <v>12</v>
      </c>
      <c r="C52" s="27"/>
      <c r="D52" s="27"/>
      <c r="E52" s="28">
        <f>Table7243648[Projected Cost]-Table7243648[Actual Cost]</f>
        <v>0</v>
      </c>
      <c r="F52" s="29"/>
      <c r="G52" s="22" t="s">
        <v>59</v>
      </c>
      <c r="H52" s="23" t="s">
        <v>0</v>
      </c>
      <c r="I52" s="23" t="s">
        <v>1</v>
      </c>
      <c r="J52" s="24" t="s">
        <v>2</v>
      </c>
    </row>
    <row r="53" spans="1:10" ht="15.75" customHeight="1">
      <c r="A53" s="49"/>
      <c r="B53" s="30" t="s">
        <v>54</v>
      </c>
      <c r="C53" s="31">
        <v>25</v>
      </c>
      <c r="D53" s="31">
        <v>15</v>
      </c>
      <c r="E53" s="32">
        <f>Table7243648[Projected Cost]-Table7243648[Actual Cost]</f>
        <v>10</v>
      </c>
      <c r="F53" s="29"/>
      <c r="G53" s="26" t="s">
        <v>60</v>
      </c>
      <c r="H53" s="27">
        <v>50</v>
      </c>
      <c r="I53" s="27">
        <v>50</v>
      </c>
      <c r="J53" s="28">
        <f>Table12162840[Projected Cost]-Table12162840[Actual Cost]</f>
        <v>0</v>
      </c>
    </row>
    <row r="54" spans="1:10" ht="15.75" customHeight="1">
      <c r="A54" s="49"/>
      <c r="B54" s="26" t="s">
        <v>52</v>
      </c>
      <c r="C54" s="27">
        <v>30</v>
      </c>
      <c r="D54" s="27">
        <v>29</v>
      </c>
      <c r="E54" s="28">
        <f>Table7243648[Projected Cost]-Table7243648[Actual Cost]</f>
        <v>1</v>
      </c>
      <c r="F54" s="29"/>
      <c r="G54" s="30" t="s">
        <v>61</v>
      </c>
      <c r="H54" s="31"/>
      <c r="I54" s="31"/>
      <c r="J54" s="32">
        <f>Table12162840[Projected Cost]-Table12162840[Actual Cost]</f>
        <v>0</v>
      </c>
    </row>
    <row r="55" spans="1:10" ht="15.75" customHeight="1">
      <c r="A55" s="49"/>
      <c r="B55" s="30" t="s">
        <v>8</v>
      </c>
      <c r="C55" s="31"/>
      <c r="D55" s="31"/>
      <c r="E55" s="32">
        <f>Table7243648[Projected Cost]-Table7243648[Actual Cost]</f>
        <v>0</v>
      </c>
      <c r="F55" s="29"/>
      <c r="G55" s="26" t="s">
        <v>62</v>
      </c>
      <c r="H55" s="27"/>
      <c r="I55" s="27"/>
      <c r="J55" s="28">
        <f>Table12162840[Projected Cost]-Table12162840[Actual Cost]</f>
        <v>0</v>
      </c>
    </row>
    <row r="56" spans="1:10" ht="15.75" customHeight="1">
      <c r="A56" s="49"/>
      <c r="B56" s="26" t="s">
        <v>8</v>
      </c>
      <c r="C56" s="27"/>
      <c r="D56" s="27"/>
      <c r="E56" s="28">
        <f>Table7243648[Projected Cost]-Table7243648[Actual Cost]</f>
        <v>0</v>
      </c>
      <c r="F56" s="29"/>
      <c r="G56" s="30" t="s">
        <v>8</v>
      </c>
      <c r="H56" s="31"/>
      <c r="I56" s="31"/>
      <c r="J56" s="32">
        <f>Table12162840[Projected Cost]-Table12162840[Actual Cost]</f>
        <v>0</v>
      </c>
    </row>
    <row r="57" spans="1:10" ht="15.75" customHeight="1">
      <c r="A57" s="49"/>
      <c r="B57" s="22" t="s">
        <v>35</v>
      </c>
      <c r="C57" s="31">
        <f>SUBTOTAL(109,Table7243648[Projected Cost])</f>
        <v>80</v>
      </c>
      <c r="D57" s="31">
        <f>SUBTOTAL(109,Table7243648[Actual Cost])</f>
        <v>89</v>
      </c>
      <c r="E57" s="33">
        <f>SUBTOTAL(109,Table7243648[Difference])</f>
        <v>-9</v>
      </c>
      <c r="F57" s="29"/>
      <c r="G57" s="22" t="s">
        <v>35</v>
      </c>
      <c r="H57" s="31">
        <f>SUBTOTAL(109,Table12162840[Projected Cost])</f>
        <v>50</v>
      </c>
      <c r="I57" s="31">
        <f>SUBTOTAL(109,Table12162840[Actual Cost])</f>
        <v>50</v>
      </c>
      <c r="J57" s="33">
        <f>SUBTOTAL(109,Table12162840[Difference])</f>
        <v>0</v>
      </c>
    </row>
    <row r="58" spans="1:10" ht="15.75" customHeight="1">
      <c r="A58" s="49"/>
      <c r="F58" s="29"/>
      <c r="G58" s="57"/>
      <c r="H58" s="57"/>
      <c r="I58" s="57"/>
      <c r="J58" s="57"/>
    </row>
    <row r="59" spans="1:10" ht="27" customHeight="1">
      <c r="A59" s="49"/>
      <c r="F59" s="36"/>
      <c r="G59" s="37" t="s">
        <v>33</v>
      </c>
      <c r="H59" s="38"/>
      <c r="I59" s="39"/>
      <c r="J59" s="40">
        <f>SUM(C18,C27,C34,C39,C47,C57,H22,H31,H38,H44,H50,H57)</f>
        <v>5000</v>
      </c>
    </row>
    <row r="60" spans="1:10" ht="27.75" customHeight="1">
      <c r="A60" s="49"/>
      <c r="F60" s="36"/>
      <c r="G60" s="37" t="s">
        <v>71</v>
      </c>
      <c r="H60" s="38"/>
      <c r="I60" s="39"/>
      <c r="J60" s="40">
        <f>SUM(D18,D27,D34,D39,D47,D57,I22,I31,I38,I44,I50,I57)</f>
        <v>4564</v>
      </c>
    </row>
    <row r="61" spans="1:10" ht="29.25" customHeight="1">
      <c r="A61" s="49"/>
      <c r="F61" s="36"/>
      <c r="G61" s="37" t="s">
        <v>34</v>
      </c>
      <c r="H61" s="38"/>
      <c r="I61" s="39"/>
      <c r="J61" s="40">
        <f>SUM(E18,E27,E34,E39,E47,E57,J22,J31,J38,J44,J50,J57)</f>
        <v>436</v>
      </c>
    </row>
    <row r="62" spans="1:10" ht="15.75" customHeight="1">
      <c r="A62" s="49"/>
      <c r="F62" s="36"/>
    </row>
    <row r="63" spans="1:10" ht="15.75" customHeight="1">
      <c r="G63" s="41" t="s">
        <v>65</v>
      </c>
      <c r="H63" s="42"/>
    </row>
    <row r="64" spans="1:10">
      <c r="G64" s="43" t="str">
        <f>Table1142638[[#Headers],[HOME]]</f>
        <v>HOME</v>
      </c>
      <c r="H64" s="44">
        <f>Table1142638[[#Totals],[Actual Cost]]</f>
        <v>1210</v>
      </c>
    </row>
    <row r="65" spans="7:8">
      <c r="G65" s="45" t="str">
        <f>Table3213345[[#Headers],[TRANSPORTATION]]</f>
        <v>TRANSPORTATION</v>
      </c>
      <c r="H65" s="46">
        <f>Table3213345[[#Totals],[Actual Cost]]</f>
        <v>310</v>
      </c>
    </row>
    <row r="66" spans="7:8">
      <c r="G66" s="41" t="str">
        <f>Table4152739[[#Headers],[UTILITIES]]</f>
        <v>UTILITIES</v>
      </c>
      <c r="H66" s="42">
        <f>Table4152739[[#Totals],[Actual Cost]]</f>
        <v>160</v>
      </c>
    </row>
    <row r="67" spans="7:8">
      <c r="G67" s="43" t="str">
        <f>Table5193143[[#Headers],[FOOD]]</f>
        <v>FOOD</v>
      </c>
      <c r="H67" s="44">
        <f>Table5193143[[#Totals],[Actual Cost]]</f>
        <v>400</v>
      </c>
    </row>
    <row r="68" spans="7:8">
      <c r="G68" s="45" t="str">
        <f>Table6172941[[#Headers],[CONNECTIONS]]</f>
        <v>CONNECTIONS</v>
      </c>
      <c r="H68" s="46">
        <f>Table6172941[[#Totals],[Actual Cost]]</f>
        <v>150</v>
      </c>
    </row>
    <row r="69" spans="7:8">
      <c r="G69" s="41" t="str">
        <f>Table7243648[[#Headers],[PERSONAL CARE]]</f>
        <v>PERSONAL CARE</v>
      </c>
      <c r="H69" s="42">
        <f>Table7243648[[#Totals],[Actual Cost]]</f>
        <v>89</v>
      </c>
    </row>
    <row r="70" spans="7:8">
      <c r="G70" s="43" t="str">
        <f>Table2253749[[#Headers],[ENTERTAINMENT]]</f>
        <v>ENTERTAINMENT</v>
      </c>
      <c r="H70" s="44">
        <f>Table2253749[[#Totals],[Actual Cost]]</f>
        <v>1370</v>
      </c>
    </row>
    <row r="71" spans="7:8">
      <c r="G71" s="45" t="str">
        <f>Table8223446[[#Headers],[LOANS]]</f>
        <v>LOANS</v>
      </c>
      <c r="H71" s="46">
        <f>Table8223446[[#Totals],[Actual Cost]]</f>
        <v>500</v>
      </c>
    </row>
    <row r="72" spans="7:8">
      <c r="G72" s="41" t="str">
        <f>Table9203244[[#Headers],[TAXES]]</f>
        <v>TAXES</v>
      </c>
      <c r="H72" s="42">
        <f>Table9203244[[#Totals],[Actual Cost]]</f>
        <v>25</v>
      </c>
    </row>
    <row r="73" spans="7:8">
      <c r="G73" s="43" t="str">
        <f>Table10233547[[#Headers],[SAVINGS OR INVESTMENTS]]</f>
        <v>SAVINGS OR INVESTMENTS</v>
      </c>
      <c r="H73" s="44">
        <f>Table10233547[[#Totals],[Actual Cost]]</f>
        <v>250</v>
      </c>
    </row>
    <row r="74" spans="7:8">
      <c r="G74" s="45" t="str">
        <f>Table11183042[[#Headers],[MEDICAL]]</f>
        <v>MEDICAL</v>
      </c>
      <c r="H74" s="46">
        <f>Table11183042[[#Totals],[Actual Cost]]</f>
        <v>50</v>
      </c>
    </row>
    <row r="75" spans="7:8">
      <c r="G75" s="41" t="str">
        <f>Table12162840[[#Headers],[MISC]]</f>
        <v>MISC</v>
      </c>
      <c r="H75" s="42">
        <f>Table12162840[[#Totals],[Actual Cost]]</f>
        <v>50</v>
      </c>
    </row>
    <row r="76" spans="7:8">
      <c r="G76" s="43" t="s">
        <v>35</v>
      </c>
      <c r="H76" s="44">
        <f>SUM(H64:H75)</f>
        <v>4564</v>
      </c>
    </row>
  </sheetData>
  <mergeCells count="27">
    <mergeCell ref="B2:J2"/>
    <mergeCell ref="B3:D3"/>
    <mergeCell ref="B4:B7"/>
    <mergeCell ref="C4:D4"/>
    <mergeCell ref="G4:I6"/>
    <mergeCell ref="J4:J6"/>
    <mergeCell ref="C6:D6"/>
    <mergeCell ref="C7:D7"/>
    <mergeCell ref="G7:I8"/>
    <mergeCell ref="J7:J8"/>
    <mergeCell ref="G39:J39"/>
    <mergeCell ref="B8:B11"/>
    <mergeCell ref="C8:D8"/>
    <mergeCell ref="G9:I10"/>
    <mergeCell ref="J9:J10"/>
    <mergeCell ref="C10:D10"/>
    <mergeCell ref="C11:D11"/>
    <mergeCell ref="B19:E19"/>
    <mergeCell ref="G23:J23"/>
    <mergeCell ref="B28:E28"/>
    <mergeCell ref="G32:J32"/>
    <mergeCell ref="B35:E35"/>
    <mergeCell ref="B40:E40"/>
    <mergeCell ref="G45:J45"/>
    <mergeCell ref="B48:E48"/>
    <mergeCell ref="G51:J51"/>
    <mergeCell ref="G58:J58"/>
  </mergeCells>
  <conditionalFormatting sqref="J13:J22 E42:E47 E30:E34 E14:E18 E21:E27 E37:E39 E50:E57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39997558519241921"/>
    <pageSetUpPr autoPageBreaks="0" fitToPage="1"/>
  </sheetPr>
  <dimension ref="A1:J76"/>
  <sheetViews>
    <sheetView showGridLines="0" workbookViewId="0">
      <selection activeCell="L12" sqref="L12"/>
    </sheetView>
  </sheetViews>
  <sheetFormatPr baseColWidth="10" defaultColWidth="8.83203125" defaultRowHeight="13" x14ac:dyDescent="0"/>
  <cols>
    <col min="1" max="1" width="1.6640625" style="35" customWidth="1"/>
    <col min="2" max="2" width="28.33203125" style="35" bestFit="1" customWidth="1"/>
    <col min="3" max="3" width="17.1640625" style="35" bestFit="1" customWidth="1"/>
    <col min="4" max="4" width="14" style="35" bestFit="1" customWidth="1"/>
    <col min="5" max="5" width="12.83203125" style="35" bestFit="1" customWidth="1"/>
    <col min="6" max="6" width="2.83203125" style="35" customWidth="1"/>
    <col min="7" max="7" width="27.5" style="35" bestFit="1" customWidth="1"/>
    <col min="8" max="8" width="17.1640625" style="35" bestFit="1" customWidth="1"/>
    <col min="9" max="9" width="14" style="35" bestFit="1" customWidth="1"/>
    <col min="10" max="10" width="12.83203125" style="35" bestFit="1" customWidth="1"/>
    <col min="11" max="16384" width="8.83203125" style="35"/>
  </cols>
  <sheetData>
    <row r="1" spans="1:10" ht="8" customHeight="1">
      <c r="A1" s="47"/>
      <c r="B1" s="48"/>
      <c r="C1" s="48"/>
      <c r="D1" s="48"/>
      <c r="E1" s="48"/>
      <c r="F1" s="48"/>
      <c r="G1" s="48"/>
      <c r="H1" s="48"/>
      <c r="I1" s="48"/>
      <c r="J1" s="49"/>
    </row>
    <row r="2" spans="1:10" ht="52" customHeight="1">
      <c r="A2" s="47"/>
      <c r="B2" s="68" t="s">
        <v>80</v>
      </c>
      <c r="C2" s="68"/>
      <c r="D2" s="68"/>
      <c r="E2" s="68"/>
      <c r="F2" s="68"/>
      <c r="G2" s="68"/>
      <c r="H2" s="68"/>
      <c r="I2" s="68"/>
      <c r="J2" s="68"/>
    </row>
    <row r="3" spans="1:10" ht="8" customHeight="1">
      <c r="A3" s="49"/>
      <c r="B3" s="69"/>
      <c r="C3" s="69"/>
      <c r="D3" s="69"/>
      <c r="E3" s="50"/>
      <c r="F3" s="13"/>
      <c r="G3" s="50"/>
      <c r="H3" s="51"/>
      <c r="I3" s="52"/>
      <c r="J3" s="53"/>
    </row>
    <row r="4" spans="1:10" ht="16" customHeight="1">
      <c r="A4" s="49"/>
      <c r="B4" s="63" t="s">
        <v>66</v>
      </c>
      <c r="C4" s="54" t="s">
        <v>3</v>
      </c>
      <c r="D4" s="55"/>
      <c r="E4" s="12">
        <v>2000</v>
      </c>
      <c r="F4" s="13"/>
      <c r="G4" s="59" t="s">
        <v>99</v>
      </c>
      <c r="H4" s="59"/>
      <c r="I4" s="59"/>
      <c r="J4" s="60">
        <f>E7-J59</f>
        <v>-750</v>
      </c>
    </row>
    <row r="5" spans="1:10" ht="16" customHeight="1">
      <c r="A5" s="49"/>
      <c r="B5" s="64"/>
      <c r="C5" s="14" t="s">
        <v>67</v>
      </c>
      <c r="D5" s="15"/>
      <c r="E5" s="12">
        <v>1000</v>
      </c>
      <c r="F5" s="13"/>
      <c r="G5" s="59"/>
      <c r="H5" s="59"/>
      <c r="I5" s="59"/>
      <c r="J5" s="60"/>
    </row>
    <row r="6" spans="1:10" ht="16" customHeight="1">
      <c r="A6" s="49"/>
      <c r="B6" s="64"/>
      <c r="C6" s="54" t="s">
        <v>64</v>
      </c>
      <c r="D6" s="55"/>
      <c r="E6" s="12">
        <v>250</v>
      </c>
      <c r="F6" s="13"/>
      <c r="G6" s="59"/>
      <c r="H6" s="59"/>
      <c r="I6" s="59"/>
      <c r="J6" s="60"/>
    </row>
    <row r="7" spans="1:10" ht="16" customHeight="1">
      <c r="A7" s="49"/>
      <c r="B7" s="65"/>
      <c r="C7" s="61" t="s">
        <v>18</v>
      </c>
      <c r="D7" s="62"/>
      <c r="E7" s="16">
        <f>SUM(E4:E6)</f>
        <v>3250</v>
      </c>
      <c r="F7" s="13"/>
      <c r="G7" s="59" t="s">
        <v>100</v>
      </c>
      <c r="H7" s="59"/>
      <c r="I7" s="59"/>
      <c r="J7" s="60">
        <f>E11-J60</f>
        <v>636</v>
      </c>
    </row>
    <row r="8" spans="1:10" ht="16" customHeight="1">
      <c r="A8" s="49"/>
      <c r="B8" s="63" t="s">
        <v>32</v>
      </c>
      <c r="C8" s="54" t="s">
        <v>3</v>
      </c>
      <c r="D8" s="55"/>
      <c r="E8" s="12">
        <v>2500</v>
      </c>
      <c r="F8" s="13"/>
      <c r="G8" s="59"/>
      <c r="H8" s="59"/>
      <c r="I8" s="59"/>
      <c r="J8" s="60"/>
    </row>
    <row r="9" spans="1:10" ht="16" customHeight="1">
      <c r="A9" s="49"/>
      <c r="B9" s="64"/>
      <c r="C9" s="14" t="s">
        <v>67</v>
      </c>
      <c r="D9" s="15"/>
      <c r="E9" s="12">
        <v>1000</v>
      </c>
      <c r="F9" s="13"/>
      <c r="G9" s="59" t="s">
        <v>101</v>
      </c>
      <c r="H9" s="59"/>
      <c r="I9" s="59"/>
      <c r="J9" s="60">
        <f>J7-J4</f>
        <v>1386</v>
      </c>
    </row>
    <row r="10" spans="1:10" ht="16" customHeight="1">
      <c r="A10" s="49"/>
      <c r="B10" s="64"/>
      <c r="C10" s="54" t="s">
        <v>64</v>
      </c>
      <c r="D10" s="55"/>
      <c r="E10" s="12">
        <v>500</v>
      </c>
      <c r="F10" s="13"/>
      <c r="G10" s="59"/>
      <c r="H10" s="59"/>
      <c r="I10" s="59"/>
      <c r="J10" s="60"/>
    </row>
    <row r="11" spans="1:10" ht="16" customHeight="1">
      <c r="A11" s="49"/>
      <c r="B11" s="65"/>
      <c r="C11" s="61" t="s">
        <v>18</v>
      </c>
      <c r="D11" s="62"/>
      <c r="E11" s="16">
        <f>SUM(E8:E10)</f>
        <v>4000</v>
      </c>
      <c r="F11" s="13"/>
      <c r="G11" s="17"/>
      <c r="H11" s="17"/>
      <c r="I11" s="17"/>
      <c r="J11" s="18"/>
    </row>
    <row r="12" spans="1:10" ht="16" customHeight="1">
      <c r="A12" s="49"/>
      <c r="B12" s="19"/>
      <c r="C12" s="19"/>
      <c r="D12" s="20"/>
      <c r="E12" s="21"/>
      <c r="F12" s="13"/>
      <c r="G12" s="22" t="s">
        <v>25</v>
      </c>
      <c r="H12" s="23" t="s">
        <v>0</v>
      </c>
      <c r="I12" s="23" t="s">
        <v>1</v>
      </c>
      <c r="J12" s="24" t="s">
        <v>2</v>
      </c>
    </row>
    <row r="13" spans="1:10" ht="16" customHeight="1">
      <c r="A13" s="49"/>
      <c r="B13" s="22" t="s">
        <v>37</v>
      </c>
      <c r="C13" s="23" t="s">
        <v>0</v>
      </c>
      <c r="D13" s="23" t="s">
        <v>1</v>
      </c>
      <c r="E13" s="24" t="s">
        <v>2</v>
      </c>
      <c r="F13" s="25"/>
      <c r="G13" s="26" t="s">
        <v>40</v>
      </c>
      <c r="H13" s="27">
        <v>20</v>
      </c>
      <c r="I13" s="27">
        <v>50</v>
      </c>
      <c r="J13" s="28">
        <f>Table22537[Projected Cost]-Table22537[Actual Cost]</f>
        <v>-30</v>
      </c>
    </row>
    <row r="14" spans="1:10" ht="15.75" customHeight="1">
      <c r="A14" s="49"/>
      <c r="B14" s="26" t="s">
        <v>4</v>
      </c>
      <c r="C14" s="27">
        <v>1000</v>
      </c>
      <c r="D14" s="27">
        <v>1010</v>
      </c>
      <c r="E14" s="28">
        <f>Table11426[Projected Cost]-Table11426[Actual Cost]</f>
        <v>-10</v>
      </c>
      <c r="F14" s="29"/>
      <c r="G14" s="30" t="s">
        <v>41</v>
      </c>
      <c r="H14" s="31"/>
      <c r="I14" s="31"/>
      <c r="J14" s="32">
        <f>Table22537[Projected Cost]-Table22537[Actual Cost]</f>
        <v>0</v>
      </c>
    </row>
    <row r="15" spans="1:10" ht="15.75" customHeight="1">
      <c r="A15" s="49"/>
      <c r="B15" s="30" t="s">
        <v>6</v>
      </c>
      <c r="C15" s="31">
        <v>100</v>
      </c>
      <c r="D15" s="31">
        <v>200</v>
      </c>
      <c r="E15" s="32">
        <f>Table11426[Projected Cost]-Table11426[Actual Cost]</f>
        <v>-100</v>
      </c>
      <c r="F15" s="29"/>
      <c r="G15" s="26" t="s">
        <v>13</v>
      </c>
      <c r="H15" s="27">
        <v>25</v>
      </c>
      <c r="I15" s="27">
        <v>45</v>
      </c>
      <c r="J15" s="28">
        <f>Table22537[Projected Cost]-Table22537[Actual Cost]</f>
        <v>-20</v>
      </c>
    </row>
    <row r="16" spans="1:10" ht="15.75" customHeight="1">
      <c r="A16" s="49"/>
      <c r="B16" s="26" t="s">
        <v>7</v>
      </c>
      <c r="C16" s="27"/>
      <c r="D16" s="27"/>
      <c r="E16" s="28">
        <f>Table11426[Projected Cost]-Table11426[Actual Cost]</f>
        <v>0</v>
      </c>
      <c r="F16" s="29"/>
      <c r="G16" s="30" t="s">
        <v>14</v>
      </c>
      <c r="H16" s="31"/>
      <c r="I16" s="31"/>
      <c r="J16" s="32">
        <f>Table22537[Projected Cost]-Table22537[Actual Cost]</f>
        <v>0</v>
      </c>
    </row>
    <row r="17" spans="1:10" ht="15.75" customHeight="1">
      <c r="A17" s="49"/>
      <c r="B17" s="30" t="s">
        <v>8</v>
      </c>
      <c r="C17" s="31"/>
      <c r="D17" s="31"/>
      <c r="E17" s="32">
        <f>Table11426[Projected Cost]-Table11426[Actual Cost]</f>
        <v>0</v>
      </c>
      <c r="F17" s="29"/>
      <c r="G17" s="26" t="s">
        <v>21</v>
      </c>
      <c r="H17" s="27"/>
      <c r="I17" s="27"/>
      <c r="J17" s="28">
        <f>Table22537[Projected Cost]-Table22537[Actual Cost]</f>
        <v>0</v>
      </c>
    </row>
    <row r="18" spans="1:10" ht="15.75" customHeight="1">
      <c r="A18" s="49"/>
      <c r="B18" s="22" t="s">
        <v>35</v>
      </c>
      <c r="C18" s="31">
        <f>SUBTOTAL(109,Table11426[Projected Cost])</f>
        <v>1100</v>
      </c>
      <c r="D18" s="31">
        <f>SUBTOTAL(109,Table11426[Actual Cost])</f>
        <v>1210</v>
      </c>
      <c r="E18" s="33">
        <f>SUBTOTAL(109,Table11426[Difference])</f>
        <v>-110</v>
      </c>
      <c r="F18" s="29"/>
      <c r="G18" s="30" t="s">
        <v>42</v>
      </c>
      <c r="H18" s="31">
        <v>50</v>
      </c>
      <c r="I18" s="31">
        <v>75</v>
      </c>
      <c r="J18" s="32">
        <f>Table22537[Projected Cost]-Table22537[Actual Cost]</f>
        <v>-25</v>
      </c>
    </row>
    <row r="19" spans="1:10" ht="15.75" customHeight="1">
      <c r="A19" s="49"/>
      <c r="B19" s="56"/>
      <c r="C19" s="56"/>
      <c r="D19" s="56"/>
      <c r="E19" s="56"/>
      <c r="F19" s="29"/>
      <c r="G19" s="26" t="s">
        <v>47</v>
      </c>
      <c r="H19" s="27"/>
      <c r="I19" s="27"/>
      <c r="J19" s="28">
        <f>Table22537[Projected Cost]-Table22537[Actual Cost]</f>
        <v>0</v>
      </c>
    </row>
    <row r="20" spans="1:10" ht="15.75" customHeight="1">
      <c r="A20" s="49"/>
      <c r="B20" s="22" t="s">
        <v>27</v>
      </c>
      <c r="C20" s="23" t="s">
        <v>0</v>
      </c>
      <c r="D20" s="23" t="s">
        <v>1</v>
      </c>
      <c r="E20" s="24" t="s">
        <v>2</v>
      </c>
      <c r="F20" s="29"/>
      <c r="G20" s="30" t="s">
        <v>8</v>
      </c>
      <c r="H20" s="31"/>
      <c r="I20" s="31"/>
      <c r="J20" s="32">
        <f>Table22537[Projected Cost]-Table22537[Actual Cost]</f>
        <v>0</v>
      </c>
    </row>
    <row r="21" spans="1:10" ht="15.75" customHeight="1">
      <c r="A21" s="49"/>
      <c r="B21" s="26" t="s">
        <v>20</v>
      </c>
      <c r="C21" s="27">
        <v>250</v>
      </c>
      <c r="D21" s="27">
        <v>250</v>
      </c>
      <c r="E21" s="28">
        <f>Table32133[Projected Cost]-Table32133[Actual Cost]</f>
        <v>0</v>
      </c>
      <c r="F21" s="29"/>
      <c r="G21" s="26" t="s">
        <v>8</v>
      </c>
      <c r="H21" s="27"/>
      <c r="I21" s="27"/>
      <c r="J21" s="28">
        <f>Table22537[Projected Cost]-Table22537[Actual Cost]</f>
        <v>0</v>
      </c>
    </row>
    <row r="22" spans="1:10" ht="15.75" customHeight="1">
      <c r="A22" s="49"/>
      <c r="B22" s="30" t="s">
        <v>51</v>
      </c>
      <c r="C22" s="31"/>
      <c r="D22" s="31"/>
      <c r="E22" s="32">
        <f>Table32133[Projected Cost]-Table32133[Actual Cost]</f>
        <v>0</v>
      </c>
      <c r="F22" s="29"/>
      <c r="G22" s="22" t="s">
        <v>35</v>
      </c>
      <c r="H22" s="34">
        <f>SUBTOTAL(109,Table22537[Projected Cost])</f>
        <v>95</v>
      </c>
      <c r="I22" s="31">
        <f>SUBTOTAL(109,Table22537[Actual Cost])</f>
        <v>170</v>
      </c>
      <c r="J22" s="33">
        <f>SUBTOTAL(109,Table22537[Difference])</f>
        <v>-75</v>
      </c>
    </row>
    <row r="23" spans="1:10" ht="15.75" customHeight="1">
      <c r="A23" s="49"/>
      <c r="B23" s="26" t="s">
        <v>9</v>
      </c>
      <c r="C23" s="27"/>
      <c r="D23" s="27"/>
      <c r="E23" s="28">
        <f>Table32133[Projected Cost]-Table32133[Actual Cost]</f>
        <v>0</v>
      </c>
      <c r="F23" s="29"/>
      <c r="G23" s="67"/>
      <c r="H23" s="67"/>
      <c r="I23" s="67"/>
      <c r="J23" s="67"/>
    </row>
    <row r="24" spans="1:10" ht="15.75" customHeight="1">
      <c r="A24" s="49"/>
      <c r="B24" s="30" t="s">
        <v>5</v>
      </c>
      <c r="C24" s="31">
        <v>50</v>
      </c>
      <c r="D24" s="31">
        <v>60</v>
      </c>
      <c r="E24" s="32">
        <f>Table32133[Projected Cost]-Table32133[Actual Cost]</f>
        <v>-10</v>
      </c>
      <c r="F24" s="29"/>
      <c r="G24" s="22" t="s">
        <v>26</v>
      </c>
      <c r="H24" s="23" t="s">
        <v>0</v>
      </c>
      <c r="I24" s="23" t="s">
        <v>1</v>
      </c>
      <c r="J24" s="24" t="s">
        <v>2</v>
      </c>
    </row>
    <row r="25" spans="1:10" ht="15.75" customHeight="1">
      <c r="A25" s="49"/>
      <c r="B25" s="26" t="s">
        <v>10</v>
      </c>
      <c r="C25" s="27"/>
      <c r="D25" s="27"/>
      <c r="E25" s="28">
        <f>Table32133[Projected Cost]-Table32133[Actual Cost]</f>
        <v>0</v>
      </c>
      <c r="F25" s="29"/>
      <c r="G25" s="26" t="s">
        <v>43</v>
      </c>
      <c r="H25" s="27">
        <v>400</v>
      </c>
      <c r="I25" s="27">
        <v>400</v>
      </c>
      <c r="J25" s="28">
        <f>Table82234[Projected Cost]-Table82234[Actual Cost]</f>
        <v>0</v>
      </c>
    </row>
    <row r="26" spans="1:10" ht="15.75" customHeight="1">
      <c r="A26" s="49"/>
      <c r="B26" s="30" t="s">
        <v>8</v>
      </c>
      <c r="C26" s="31"/>
      <c r="D26" s="31"/>
      <c r="E26" s="32">
        <f>Table32133[Projected Cost]-Table32133[Actual Cost]</f>
        <v>0</v>
      </c>
      <c r="F26" s="29"/>
      <c r="G26" s="30" t="s">
        <v>44</v>
      </c>
      <c r="H26" s="31"/>
      <c r="I26" s="31"/>
      <c r="J26" s="32">
        <f>Table82234[Projected Cost]-Table82234[Actual Cost]</f>
        <v>0</v>
      </c>
    </row>
    <row r="27" spans="1:10" ht="15.75" customHeight="1">
      <c r="A27" s="49"/>
      <c r="B27" s="22" t="s">
        <v>35</v>
      </c>
      <c r="C27" s="31">
        <f>SUBTOTAL(109,Table32133[Projected Cost])</f>
        <v>300</v>
      </c>
      <c r="D27" s="31">
        <f>SUBTOTAL(109,Table32133[Actual Cost])</f>
        <v>310</v>
      </c>
      <c r="E27" s="33">
        <f>SUBTOTAL(109,Table32133[Difference])</f>
        <v>-10</v>
      </c>
      <c r="F27" s="29"/>
      <c r="G27" s="26" t="s">
        <v>22</v>
      </c>
      <c r="H27" s="27"/>
      <c r="I27" s="27"/>
      <c r="J27" s="28">
        <f>Table82234[Projected Cost]-Table82234[Actual Cost]</f>
        <v>0</v>
      </c>
    </row>
    <row r="28" spans="1:10" ht="15.75" customHeight="1">
      <c r="A28" s="49"/>
      <c r="B28" s="56"/>
      <c r="C28" s="56"/>
      <c r="D28" s="56"/>
      <c r="E28" s="56"/>
      <c r="F28" s="29"/>
      <c r="G28" s="30" t="s">
        <v>22</v>
      </c>
      <c r="H28" s="31"/>
      <c r="I28" s="31"/>
      <c r="J28" s="32">
        <f>Table82234[Projected Cost]-Table82234[Actual Cost]</f>
        <v>0</v>
      </c>
    </row>
    <row r="29" spans="1:10" ht="15.75" customHeight="1">
      <c r="A29" s="49"/>
      <c r="B29" s="22" t="s">
        <v>36</v>
      </c>
      <c r="C29" s="23" t="s">
        <v>0</v>
      </c>
      <c r="D29" s="23" t="s">
        <v>1</v>
      </c>
      <c r="E29" s="24" t="s">
        <v>2</v>
      </c>
      <c r="F29" s="29"/>
      <c r="G29" s="26" t="s">
        <v>22</v>
      </c>
      <c r="H29" s="27">
        <v>100</v>
      </c>
      <c r="I29" s="27">
        <v>100</v>
      </c>
      <c r="J29" s="28">
        <f>Table82234[Projected Cost]-Table82234[Actual Cost]</f>
        <v>0</v>
      </c>
    </row>
    <row r="30" spans="1:10" ht="15.75" customHeight="1">
      <c r="A30" s="49"/>
      <c r="B30" s="26" t="s">
        <v>5</v>
      </c>
      <c r="C30" s="27">
        <v>50</v>
      </c>
      <c r="D30" s="27">
        <v>50</v>
      </c>
      <c r="E30" s="28">
        <f>Table41527[Projected Cost]-Table41527[Actual Cost]</f>
        <v>0</v>
      </c>
      <c r="F30" s="29"/>
      <c r="G30" s="30" t="s">
        <v>8</v>
      </c>
      <c r="H30" s="31"/>
      <c r="I30" s="31"/>
      <c r="J30" s="32">
        <f>Table82234[Projected Cost]-Table82234[Actual Cost]</f>
        <v>0</v>
      </c>
    </row>
    <row r="31" spans="1:10" ht="15.75" customHeight="1">
      <c r="A31" s="49"/>
      <c r="B31" s="30" t="s">
        <v>38</v>
      </c>
      <c r="C31" s="31">
        <v>100</v>
      </c>
      <c r="D31" s="31">
        <v>110</v>
      </c>
      <c r="E31" s="32">
        <f>Table41527[Projected Cost]-Table41527[Actual Cost]</f>
        <v>-10</v>
      </c>
      <c r="F31" s="29"/>
      <c r="G31" s="22" t="s">
        <v>35</v>
      </c>
      <c r="H31" s="31">
        <f>SUBTOTAL(109,Table82234[Projected Cost])</f>
        <v>500</v>
      </c>
      <c r="I31" s="31">
        <f>SUBTOTAL(109,Table82234[Actual Cost])</f>
        <v>500</v>
      </c>
      <c r="J31" s="33">
        <f>SUBTOTAL(109,Table82234[Difference])</f>
        <v>0</v>
      </c>
    </row>
    <row r="32" spans="1:10" ht="15.75" customHeight="1">
      <c r="A32" s="49"/>
      <c r="B32" s="26" t="s">
        <v>39</v>
      </c>
      <c r="C32" s="27"/>
      <c r="D32" s="27"/>
      <c r="E32" s="28">
        <f>Table41527[Projected Cost]-Table41527[Actual Cost]</f>
        <v>0</v>
      </c>
      <c r="F32" s="29"/>
      <c r="G32" s="56"/>
      <c r="H32" s="56"/>
      <c r="I32" s="56"/>
      <c r="J32" s="56"/>
    </row>
    <row r="33" spans="1:10" ht="15.75" customHeight="1">
      <c r="A33" s="49"/>
      <c r="B33" s="30" t="s">
        <v>19</v>
      </c>
      <c r="C33" s="31"/>
      <c r="D33" s="31"/>
      <c r="E33" s="32">
        <f>Table41527[Projected Cost]-Table41527[Actual Cost]</f>
        <v>0</v>
      </c>
      <c r="F33" s="29"/>
      <c r="G33" s="22" t="s">
        <v>28</v>
      </c>
      <c r="H33" s="23" t="s">
        <v>0</v>
      </c>
      <c r="I33" s="23" t="s">
        <v>1</v>
      </c>
      <c r="J33" s="24" t="s">
        <v>2</v>
      </c>
    </row>
    <row r="34" spans="1:10" ht="15.75" customHeight="1">
      <c r="A34" s="49"/>
      <c r="B34" s="22" t="s">
        <v>35</v>
      </c>
      <c r="C34" s="31">
        <f>SUBTOTAL(109,Table41527[Projected Cost])</f>
        <v>150</v>
      </c>
      <c r="D34" s="31">
        <f>SUBTOTAL(109,Table41527[Actual Cost])</f>
        <v>160</v>
      </c>
      <c r="E34" s="33">
        <f>SUBTOTAL(109,Table41527[Difference])</f>
        <v>-10</v>
      </c>
      <c r="F34" s="29"/>
      <c r="G34" s="26" t="s">
        <v>15</v>
      </c>
      <c r="H34" s="27">
        <v>25</v>
      </c>
      <c r="I34" s="27">
        <v>25</v>
      </c>
      <c r="J34" s="28">
        <f>Table92032[Projected Cost]-Table92032[Actual Cost]</f>
        <v>0</v>
      </c>
    </row>
    <row r="35" spans="1:10" ht="15.75" customHeight="1">
      <c r="A35" s="49"/>
      <c r="B35" s="56"/>
      <c r="C35" s="56"/>
      <c r="D35" s="56"/>
      <c r="E35" s="56"/>
      <c r="F35" s="29"/>
      <c r="G35" s="30" t="s">
        <v>16</v>
      </c>
      <c r="H35" s="31"/>
      <c r="I35" s="31"/>
      <c r="J35" s="32">
        <f>Table92032[Projected Cost]-Table92032[Actual Cost]</f>
        <v>0</v>
      </c>
    </row>
    <row r="36" spans="1:10" ht="15.75" customHeight="1">
      <c r="A36" s="49"/>
      <c r="B36" s="22" t="s">
        <v>29</v>
      </c>
      <c r="C36" s="23" t="s">
        <v>0</v>
      </c>
      <c r="D36" s="23" t="s">
        <v>1</v>
      </c>
      <c r="E36" s="24" t="s">
        <v>2</v>
      </c>
      <c r="F36" s="29"/>
      <c r="G36" s="26" t="s">
        <v>17</v>
      </c>
      <c r="H36" s="27"/>
      <c r="I36" s="27"/>
      <c r="J36" s="28">
        <f>Table92032[Projected Cost]-Table92032[Actual Cost]</f>
        <v>0</v>
      </c>
    </row>
    <row r="37" spans="1:10" ht="15.75" customHeight="1">
      <c r="A37" s="49"/>
      <c r="B37" s="26" t="s">
        <v>11</v>
      </c>
      <c r="C37" s="27">
        <v>500</v>
      </c>
      <c r="D37" s="27">
        <v>400</v>
      </c>
      <c r="E37" s="28">
        <f>Table51931[Projected Cost]-Table51931[Actual Cost]</f>
        <v>100</v>
      </c>
      <c r="F37" s="29"/>
      <c r="G37" s="30" t="s">
        <v>8</v>
      </c>
      <c r="H37" s="31"/>
      <c r="I37" s="31"/>
      <c r="J37" s="32">
        <f>Table92032[Projected Cost]-Table92032[Actual Cost]</f>
        <v>0</v>
      </c>
    </row>
    <row r="38" spans="1:10" ht="15.75" customHeight="1">
      <c r="A38" s="49"/>
      <c r="B38" s="30" t="s">
        <v>8</v>
      </c>
      <c r="C38" s="31"/>
      <c r="D38" s="31"/>
      <c r="E38" s="32">
        <f>Table51931[Projected Cost]-Table51931[Actual Cost]</f>
        <v>0</v>
      </c>
      <c r="F38" s="29"/>
      <c r="G38" s="22" t="s">
        <v>35</v>
      </c>
      <c r="H38" s="31">
        <f>SUBTOTAL(109,Table92032[Projected Cost])</f>
        <v>25</v>
      </c>
      <c r="I38" s="31">
        <f>SUBTOTAL(109,Table92032[Actual Cost])</f>
        <v>25</v>
      </c>
      <c r="J38" s="33">
        <f>SUBTOTAL(109,Table92032[Difference])</f>
        <v>0</v>
      </c>
    </row>
    <row r="39" spans="1:10" ht="15.75" customHeight="1">
      <c r="A39" s="49"/>
      <c r="B39" s="22" t="s">
        <v>35</v>
      </c>
      <c r="C39" s="31">
        <f>SUBTOTAL(109,Table51931[Projected Cost])</f>
        <v>500</v>
      </c>
      <c r="D39" s="31">
        <f>SUBTOTAL(109,Table51931[Actual Cost])</f>
        <v>400</v>
      </c>
      <c r="E39" s="33">
        <f>SUBTOTAL(109,Table51931[Difference])</f>
        <v>100</v>
      </c>
      <c r="F39" s="29"/>
      <c r="G39" s="56"/>
      <c r="H39" s="56"/>
      <c r="I39" s="56"/>
      <c r="J39" s="56"/>
    </row>
    <row r="40" spans="1:10" ht="15.75" customHeight="1">
      <c r="A40" s="49"/>
      <c r="B40" s="56"/>
      <c r="C40" s="56"/>
      <c r="D40" s="56"/>
      <c r="E40" s="56"/>
      <c r="F40" s="29"/>
      <c r="G40" s="22" t="s">
        <v>30</v>
      </c>
      <c r="H40" s="23" t="s">
        <v>0</v>
      </c>
      <c r="I40" s="23" t="s">
        <v>1</v>
      </c>
      <c r="J40" s="24" t="s">
        <v>2</v>
      </c>
    </row>
    <row r="41" spans="1:10" ht="15.75" customHeight="1">
      <c r="A41" s="49"/>
      <c r="B41" s="22" t="s">
        <v>48</v>
      </c>
      <c r="C41" s="23" t="s">
        <v>0</v>
      </c>
      <c r="D41" s="23" t="s">
        <v>1</v>
      </c>
      <c r="E41" s="24" t="s">
        <v>2</v>
      </c>
      <c r="F41" s="29"/>
      <c r="G41" s="26" t="s">
        <v>23</v>
      </c>
      <c r="H41" s="27"/>
      <c r="I41" s="27"/>
      <c r="J41" s="28">
        <f>Table102335[Projected Cost]-Table102335[Actual Cost]</f>
        <v>0</v>
      </c>
    </row>
    <row r="42" spans="1:10" ht="15.75" customHeight="1">
      <c r="A42" s="49"/>
      <c r="B42" s="26" t="s">
        <v>45</v>
      </c>
      <c r="C42" s="27">
        <v>50</v>
      </c>
      <c r="D42" s="27">
        <v>50</v>
      </c>
      <c r="E42" s="28">
        <f>Table61729[Projected Cost]-Table61729[Actual Cost]</f>
        <v>0</v>
      </c>
      <c r="F42" s="29"/>
      <c r="G42" s="30" t="s">
        <v>24</v>
      </c>
      <c r="H42" s="31"/>
      <c r="I42" s="31"/>
      <c r="J42" s="32">
        <f>Table102335[Projected Cost]-Table102335[Actual Cost]</f>
        <v>0</v>
      </c>
    </row>
    <row r="43" spans="1:10" ht="15.75" customHeight="1">
      <c r="A43" s="49"/>
      <c r="B43" s="30" t="s">
        <v>46</v>
      </c>
      <c r="C43" s="31"/>
      <c r="D43" s="31"/>
      <c r="E43" s="32">
        <f>Table61729[Projected Cost]-Table61729[Actual Cost]</f>
        <v>0</v>
      </c>
      <c r="F43" s="29"/>
      <c r="G43" s="26" t="s">
        <v>63</v>
      </c>
      <c r="H43" s="27">
        <v>1000</v>
      </c>
      <c r="I43" s="27">
        <v>250</v>
      </c>
      <c r="J43" s="28">
        <f>Table102335[Projected Cost]-Table102335[Actual Cost]</f>
        <v>750</v>
      </c>
    </row>
    <row r="44" spans="1:10" ht="15.75" customHeight="1">
      <c r="A44" s="49"/>
      <c r="B44" s="26" t="s">
        <v>49</v>
      </c>
      <c r="C44" s="27">
        <v>25</v>
      </c>
      <c r="D44" s="27">
        <v>0</v>
      </c>
      <c r="E44" s="28">
        <f>Table61729[Projected Cost]-Table61729[Actual Cost]</f>
        <v>25</v>
      </c>
      <c r="F44" s="29"/>
      <c r="G44" s="22" t="s">
        <v>35</v>
      </c>
      <c r="H44" s="31">
        <f>SUBTOTAL(109,Table102335[Projected Cost])</f>
        <v>1000</v>
      </c>
      <c r="I44" s="31">
        <f>SUBTOTAL(109,Table102335[Actual Cost])</f>
        <v>250</v>
      </c>
      <c r="J44" s="33">
        <f>SUBTOTAL(109,Table102335[Difference])</f>
        <v>750</v>
      </c>
    </row>
    <row r="45" spans="1:10" ht="15.75" customHeight="1">
      <c r="A45" s="49"/>
      <c r="B45" s="30" t="s">
        <v>50</v>
      </c>
      <c r="C45" s="31">
        <v>50</v>
      </c>
      <c r="D45" s="31">
        <v>100</v>
      </c>
      <c r="E45" s="32">
        <f>Table61729[Projected Cost]-Table61729[Actual Cost]</f>
        <v>-50</v>
      </c>
      <c r="F45" s="29"/>
      <c r="G45" s="56"/>
      <c r="H45" s="56"/>
      <c r="I45" s="56"/>
      <c r="J45" s="56"/>
    </row>
    <row r="46" spans="1:10" ht="15.75" customHeight="1">
      <c r="A46" s="49"/>
      <c r="B46" s="26" t="s">
        <v>8</v>
      </c>
      <c r="C46" s="27"/>
      <c r="D46" s="27"/>
      <c r="E46" s="28">
        <f>Table61729[Projected Cost]-Table61729[Actual Cost]</f>
        <v>0</v>
      </c>
      <c r="F46" s="29"/>
      <c r="G46" s="22" t="s">
        <v>53</v>
      </c>
      <c r="H46" s="23" t="s">
        <v>0</v>
      </c>
      <c r="I46" s="23" t="s">
        <v>1</v>
      </c>
      <c r="J46" s="24" t="s">
        <v>2</v>
      </c>
    </row>
    <row r="47" spans="1:10" ht="15.75" customHeight="1">
      <c r="A47" s="49"/>
      <c r="B47" s="22" t="s">
        <v>35</v>
      </c>
      <c r="C47" s="31">
        <f>SUBTOTAL(109,Table61729[Projected Cost])</f>
        <v>125</v>
      </c>
      <c r="D47" s="31">
        <f>SUBTOTAL(109,Table61729[Actual Cost])</f>
        <v>150</v>
      </c>
      <c r="E47" s="33">
        <f>SUBTOTAL(109,Table61729[Difference])</f>
        <v>-25</v>
      </c>
      <c r="F47" s="29"/>
      <c r="G47" s="26" t="s">
        <v>9</v>
      </c>
      <c r="H47" s="27"/>
      <c r="I47" s="27"/>
      <c r="J47" s="28">
        <f>Table111830[Projected Cost]-Table111830[Actual Cost]</f>
        <v>0</v>
      </c>
    </row>
    <row r="48" spans="1:10" ht="15.75" customHeight="1">
      <c r="A48" s="49"/>
      <c r="B48" s="56"/>
      <c r="C48" s="56"/>
      <c r="D48" s="56"/>
      <c r="E48" s="56"/>
      <c r="F48" s="29"/>
      <c r="G48" s="30" t="s">
        <v>57</v>
      </c>
      <c r="H48" s="31"/>
      <c r="I48" s="31"/>
      <c r="J48" s="32">
        <f>Table111830[Projected Cost]-Table111830[Actual Cost]</f>
        <v>0</v>
      </c>
    </row>
    <row r="49" spans="1:10" ht="15.75" customHeight="1">
      <c r="A49" s="49"/>
      <c r="B49" s="22" t="s">
        <v>31</v>
      </c>
      <c r="C49" s="23" t="s">
        <v>0</v>
      </c>
      <c r="D49" s="23" t="s">
        <v>1</v>
      </c>
      <c r="E49" s="24" t="s">
        <v>2</v>
      </c>
      <c r="F49" s="29"/>
      <c r="G49" s="26" t="s">
        <v>58</v>
      </c>
      <c r="H49" s="27">
        <v>75</v>
      </c>
      <c r="I49" s="27">
        <v>50</v>
      </c>
      <c r="J49" s="28">
        <f>Table111830[Projected Cost]-Table111830[Actual Cost]</f>
        <v>25</v>
      </c>
    </row>
    <row r="50" spans="1:10" ht="15.75" customHeight="1">
      <c r="A50" s="49"/>
      <c r="B50" s="26" t="s">
        <v>55</v>
      </c>
      <c r="C50" s="27">
        <v>15</v>
      </c>
      <c r="D50" s="27">
        <v>25</v>
      </c>
      <c r="E50" s="28">
        <f>Table72436[Projected Cost]-Table72436[Actual Cost]</f>
        <v>-10</v>
      </c>
      <c r="F50" s="29"/>
      <c r="G50" s="22" t="s">
        <v>35</v>
      </c>
      <c r="H50" s="31">
        <f>SUBTOTAL(109,Table111830[Projected Cost])</f>
        <v>75</v>
      </c>
      <c r="I50" s="31">
        <f>SUBTOTAL(109,Table111830[Actual Cost])</f>
        <v>50</v>
      </c>
      <c r="J50" s="33">
        <f>SUBTOTAL(109,Table111830[Difference])</f>
        <v>25</v>
      </c>
    </row>
    <row r="51" spans="1:10" ht="15.75" customHeight="1">
      <c r="A51" s="49"/>
      <c r="B51" s="30" t="s">
        <v>56</v>
      </c>
      <c r="C51" s="31">
        <v>10</v>
      </c>
      <c r="D51" s="31">
        <v>20</v>
      </c>
      <c r="E51" s="32">
        <f>Table72436[Projected Cost]-Table72436[Actual Cost]</f>
        <v>-10</v>
      </c>
      <c r="F51" s="29"/>
      <c r="G51" s="56"/>
      <c r="H51" s="56"/>
      <c r="I51" s="56"/>
      <c r="J51" s="56"/>
    </row>
    <row r="52" spans="1:10" ht="15.75" customHeight="1">
      <c r="A52" s="49"/>
      <c r="B52" s="26" t="s">
        <v>12</v>
      </c>
      <c r="C52" s="27"/>
      <c r="D52" s="27"/>
      <c r="E52" s="28">
        <f>Table72436[Projected Cost]-Table72436[Actual Cost]</f>
        <v>0</v>
      </c>
      <c r="F52" s="29"/>
      <c r="G52" s="22" t="s">
        <v>59</v>
      </c>
      <c r="H52" s="23" t="s">
        <v>0</v>
      </c>
      <c r="I52" s="23" t="s">
        <v>1</v>
      </c>
      <c r="J52" s="24" t="s">
        <v>2</v>
      </c>
    </row>
    <row r="53" spans="1:10" ht="15.75" customHeight="1">
      <c r="A53" s="49"/>
      <c r="B53" s="30" t="s">
        <v>54</v>
      </c>
      <c r="C53" s="31">
        <v>25</v>
      </c>
      <c r="D53" s="31">
        <v>15</v>
      </c>
      <c r="E53" s="32">
        <f>Table72436[Projected Cost]-Table72436[Actual Cost]</f>
        <v>10</v>
      </c>
      <c r="F53" s="29"/>
      <c r="G53" s="26" t="s">
        <v>60</v>
      </c>
      <c r="H53" s="27">
        <v>50</v>
      </c>
      <c r="I53" s="27">
        <v>50</v>
      </c>
      <c r="J53" s="28">
        <f>Table121628[Projected Cost]-Table121628[Actual Cost]</f>
        <v>0</v>
      </c>
    </row>
    <row r="54" spans="1:10" ht="15.75" customHeight="1">
      <c r="A54" s="49"/>
      <c r="B54" s="26" t="s">
        <v>52</v>
      </c>
      <c r="C54" s="27">
        <v>30</v>
      </c>
      <c r="D54" s="27">
        <v>29</v>
      </c>
      <c r="E54" s="28">
        <f>Table72436[Projected Cost]-Table72436[Actual Cost]</f>
        <v>1</v>
      </c>
      <c r="F54" s="29"/>
      <c r="G54" s="30" t="s">
        <v>61</v>
      </c>
      <c r="H54" s="31"/>
      <c r="I54" s="31"/>
      <c r="J54" s="32">
        <f>Table121628[Projected Cost]-Table121628[Actual Cost]</f>
        <v>0</v>
      </c>
    </row>
    <row r="55" spans="1:10" ht="15.75" customHeight="1">
      <c r="A55" s="49"/>
      <c r="B55" s="30" t="s">
        <v>8</v>
      </c>
      <c r="C55" s="31"/>
      <c r="D55" s="31"/>
      <c r="E55" s="32">
        <f>Table72436[Projected Cost]-Table72436[Actual Cost]</f>
        <v>0</v>
      </c>
      <c r="F55" s="29"/>
      <c r="G55" s="26" t="s">
        <v>62</v>
      </c>
      <c r="H55" s="27"/>
      <c r="I55" s="27"/>
      <c r="J55" s="28">
        <f>Table121628[Projected Cost]-Table121628[Actual Cost]</f>
        <v>0</v>
      </c>
    </row>
    <row r="56" spans="1:10" ht="15.75" customHeight="1">
      <c r="A56" s="49"/>
      <c r="B56" s="26" t="s">
        <v>8</v>
      </c>
      <c r="C56" s="27"/>
      <c r="D56" s="27"/>
      <c r="E56" s="28">
        <f>Table72436[Projected Cost]-Table72436[Actual Cost]</f>
        <v>0</v>
      </c>
      <c r="F56" s="29"/>
      <c r="G56" s="30" t="s">
        <v>8</v>
      </c>
      <c r="H56" s="31"/>
      <c r="I56" s="31"/>
      <c r="J56" s="32">
        <f>Table121628[Projected Cost]-Table121628[Actual Cost]</f>
        <v>0</v>
      </c>
    </row>
    <row r="57" spans="1:10" ht="15.75" customHeight="1">
      <c r="A57" s="49"/>
      <c r="B57" s="22" t="s">
        <v>35</v>
      </c>
      <c r="C57" s="31">
        <f>SUBTOTAL(109,Table72436[Projected Cost])</f>
        <v>80</v>
      </c>
      <c r="D57" s="31">
        <f>SUBTOTAL(109,Table72436[Actual Cost])</f>
        <v>89</v>
      </c>
      <c r="E57" s="33">
        <f>SUBTOTAL(109,Table72436[Difference])</f>
        <v>-9</v>
      </c>
      <c r="F57" s="29"/>
      <c r="G57" s="22" t="s">
        <v>35</v>
      </c>
      <c r="H57" s="31">
        <f>SUBTOTAL(109,Table121628[Projected Cost])</f>
        <v>50</v>
      </c>
      <c r="I57" s="31">
        <f>SUBTOTAL(109,Table121628[Actual Cost])</f>
        <v>50</v>
      </c>
      <c r="J57" s="33">
        <f>SUBTOTAL(109,Table121628[Difference])</f>
        <v>0</v>
      </c>
    </row>
    <row r="58" spans="1:10" ht="15.75" customHeight="1">
      <c r="A58" s="49"/>
      <c r="F58" s="29"/>
      <c r="G58" s="57"/>
      <c r="H58" s="57"/>
      <c r="I58" s="57"/>
      <c r="J58" s="57"/>
    </row>
    <row r="59" spans="1:10" ht="24.75" customHeight="1">
      <c r="A59" s="49"/>
      <c r="F59" s="36"/>
      <c r="G59" s="37" t="s">
        <v>33</v>
      </c>
      <c r="H59" s="38"/>
      <c r="I59" s="39"/>
      <c r="J59" s="40">
        <f>SUM(C18,C27,C34,C39,C47,C57,H22,H31,H38,H44,H50,H57)</f>
        <v>4000</v>
      </c>
    </row>
    <row r="60" spans="1:10" ht="25.5" customHeight="1">
      <c r="A60" s="49"/>
      <c r="F60" s="36"/>
      <c r="G60" s="37" t="s">
        <v>72</v>
      </c>
      <c r="H60" s="38"/>
      <c r="I60" s="39"/>
      <c r="J60" s="40">
        <f>SUM(D18,D27,D34,D39,D47,D57,I22,I31,I38,I44,I50,I57)</f>
        <v>3364</v>
      </c>
    </row>
    <row r="61" spans="1:10" ht="31.5" customHeight="1">
      <c r="A61" s="49"/>
      <c r="F61" s="36"/>
      <c r="G61" s="37" t="s">
        <v>34</v>
      </c>
      <c r="H61" s="38"/>
      <c r="I61" s="39"/>
      <c r="J61" s="40">
        <f>SUM(E18,E27,E34,E39,E47,E57,J22,J31,J38,J44,J50,J57)</f>
        <v>636</v>
      </c>
    </row>
    <row r="62" spans="1:10" ht="15.75" customHeight="1">
      <c r="A62" s="49"/>
      <c r="F62" s="36"/>
    </row>
    <row r="63" spans="1:10" ht="15.75" customHeight="1">
      <c r="G63" s="41" t="s">
        <v>65</v>
      </c>
      <c r="H63" s="42"/>
    </row>
    <row r="64" spans="1:10">
      <c r="G64" s="43" t="str">
        <f>Table11426[[#Headers],[HOME]]</f>
        <v>HOME</v>
      </c>
      <c r="H64" s="44">
        <f>Table11426[[#Totals],[Actual Cost]]</f>
        <v>1210</v>
      </c>
    </row>
    <row r="65" spans="7:8">
      <c r="G65" s="45" t="str">
        <f>Table32133[[#Headers],[TRANSPORTATION]]</f>
        <v>TRANSPORTATION</v>
      </c>
      <c r="H65" s="46">
        <f>Table32133[[#Totals],[Actual Cost]]</f>
        <v>310</v>
      </c>
    </row>
    <row r="66" spans="7:8">
      <c r="G66" s="41" t="str">
        <f>Table41527[[#Headers],[UTILITIES]]</f>
        <v>UTILITIES</v>
      </c>
      <c r="H66" s="42">
        <f>Table41527[[#Totals],[Actual Cost]]</f>
        <v>160</v>
      </c>
    </row>
    <row r="67" spans="7:8">
      <c r="G67" s="43" t="str">
        <f>Table51931[[#Headers],[FOOD]]</f>
        <v>FOOD</v>
      </c>
      <c r="H67" s="44">
        <f>Table51931[[#Totals],[Actual Cost]]</f>
        <v>400</v>
      </c>
    </row>
    <row r="68" spans="7:8">
      <c r="G68" s="45" t="str">
        <f>Table61729[[#Headers],[CONNECTIONS]]</f>
        <v>CONNECTIONS</v>
      </c>
      <c r="H68" s="46">
        <f>Table61729[[#Totals],[Actual Cost]]</f>
        <v>150</v>
      </c>
    </row>
    <row r="69" spans="7:8">
      <c r="G69" s="41" t="str">
        <f>Table72436[[#Headers],[PERSONAL CARE]]</f>
        <v>PERSONAL CARE</v>
      </c>
      <c r="H69" s="42">
        <f>Table72436[[#Totals],[Actual Cost]]</f>
        <v>89</v>
      </c>
    </row>
    <row r="70" spans="7:8">
      <c r="G70" s="43" t="str">
        <f>Table22537[[#Headers],[ENTERTAINMENT]]</f>
        <v>ENTERTAINMENT</v>
      </c>
      <c r="H70" s="44">
        <f>Table22537[[#Totals],[Actual Cost]]</f>
        <v>170</v>
      </c>
    </row>
    <row r="71" spans="7:8">
      <c r="G71" s="45" t="str">
        <f>Table82234[[#Headers],[LOANS]]</f>
        <v>LOANS</v>
      </c>
      <c r="H71" s="46">
        <f>Table82234[[#Totals],[Actual Cost]]</f>
        <v>500</v>
      </c>
    </row>
    <row r="72" spans="7:8">
      <c r="G72" s="41" t="str">
        <f>Table92032[[#Headers],[TAXES]]</f>
        <v>TAXES</v>
      </c>
      <c r="H72" s="42">
        <f>Table92032[[#Totals],[Actual Cost]]</f>
        <v>25</v>
      </c>
    </row>
    <row r="73" spans="7:8">
      <c r="G73" s="43" t="str">
        <f>Table102335[[#Headers],[SAVINGS OR INVESTMENTS]]</f>
        <v>SAVINGS OR INVESTMENTS</v>
      </c>
      <c r="H73" s="44">
        <f>Table102335[[#Totals],[Actual Cost]]</f>
        <v>250</v>
      </c>
    </row>
    <row r="74" spans="7:8">
      <c r="G74" s="45" t="str">
        <f>Table111830[[#Headers],[MEDICAL]]</f>
        <v>MEDICAL</v>
      </c>
      <c r="H74" s="46">
        <f>Table111830[[#Totals],[Actual Cost]]</f>
        <v>50</v>
      </c>
    </row>
    <row r="75" spans="7:8">
      <c r="G75" s="41" t="str">
        <f>Table121628[[#Headers],[MISC]]</f>
        <v>MISC</v>
      </c>
      <c r="H75" s="42">
        <f>Table121628[[#Totals],[Actual Cost]]</f>
        <v>50</v>
      </c>
    </row>
    <row r="76" spans="7:8">
      <c r="G76" s="43" t="s">
        <v>35</v>
      </c>
      <c r="H76" s="44">
        <f>SUM(H64:H75)</f>
        <v>3364</v>
      </c>
    </row>
  </sheetData>
  <mergeCells count="27">
    <mergeCell ref="B2:J2"/>
    <mergeCell ref="B3:D3"/>
    <mergeCell ref="B4:B7"/>
    <mergeCell ref="C4:D4"/>
    <mergeCell ref="G4:I6"/>
    <mergeCell ref="J4:J6"/>
    <mergeCell ref="C6:D6"/>
    <mergeCell ref="C7:D7"/>
    <mergeCell ref="G7:I8"/>
    <mergeCell ref="J7:J8"/>
    <mergeCell ref="G39:J39"/>
    <mergeCell ref="B8:B11"/>
    <mergeCell ref="C8:D8"/>
    <mergeCell ref="G9:I10"/>
    <mergeCell ref="J9:J10"/>
    <mergeCell ref="C10:D10"/>
    <mergeCell ref="C11:D11"/>
    <mergeCell ref="B19:E19"/>
    <mergeCell ref="G23:J23"/>
    <mergeCell ref="B28:E28"/>
    <mergeCell ref="G32:J32"/>
    <mergeCell ref="B35:E35"/>
    <mergeCell ref="B40:E40"/>
    <mergeCell ref="G45:J45"/>
    <mergeCell ref="B48:E48"/>
    <mergeCell ref="G51:J51"/>
    <mergeCell ref="G58:J58"/>
  </mergeCells>
  <conditionalFormatting sqref="J13:J22 E42:E47 E30:E34 E14:E18 E21:E27 E37:E39 E50:E57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76"/>
  <sheetViews>
    <sheetView showGridLines="0" workbookViewId="0">
      <selection sqref="A1:XFD1048576"/>
    </sheetView>
  </sheetViews>
  <sheetFormatPr baseColWidth="10" defaultColWidth="8.83203125" defaultRowHeight="13" x14ac:dyDescent="0"/>
  <cols>
    <col min="1" max="1" width="1.6640625" style="35" customWidth="1"/>
    <col min="2" max="2" width="28.33203125" style="35" bestFit="1" customWidth="1"/>
    <col min="3" max="3" width="17.1640625" style="35" bestFit="1" customWidth="1"/>
    <col min="4" max="4" width="14" style="35" bestFit="1" customWidth="1"/>
    <col min="5" max="5" width="12.83203125" style="35" bestFit="1" customWidth="1"/>
    <col min="6" max="6" width="2.83203125" style="35" customWidth="1"/>
    <col min="7" max="7" width="27.6640625" style="35" bestFit="1" customWidth="1"/>
    <col min="8" max="8" width="17.1640625" style="35" bestFit="1" customWidth="1"/>
    <col min="9" max="9" width="14" style="35" bestFit="1" customWidth="1"/>
    <col min="10" max="10" width="12.83203125" style="35" bestFit="1" customWidth="1"/>
    <col min="11" max="16384" width="8.83203125" style="35"/>
  </cols>
  <sheetData>
    <row r="1" spans="1:10" ht="8" customHeight="1">
      <c r="A1" s="47"/>
      <c r="B1" s="48"/>
      <c r="C1" s="48"/>
      <c r="D1" s="48"/>
      <c r="E1" s="48"/>
      <c r="F1" s="48"/>
      <c r="G1" s="48"/>
      <c r="H1" s="48"/>
      <c r="I1" s="48"/>
      <c r="J1" s="49"/>
    </row>
    <row r="2" spans="1:10" ht="52" customHeight="1">
      <c r="A2" s="47"/>
      <c r="B2" s="68" t="s">
        <v>81</v>
      </c>
      <c r="C2" s="68"/>
      <c r="D2" s="68"/>
      <c r="E2" s="68"/>
      <c r="F2" s="68"/>
      <c r="G2" s="68"/>
      <c r="H2" s="68"/>
      <c r="I2" s="68"/>
      <c r="J2" s="68"/>
    </row>
    <row r="3" spans="1:10" ht="8" customHeight="1">
      <c r="A3" s="49"/>
      <c r="B3" s="69"/>
      <c r="C3" s="69"/>
      <c r="D3" s="69"/>
      <c r="E3" s="50"/>
      <c r="F3" s="13"/>
      <c r="G3" s="50"/>
      <c r="H3" s="51"/>
      <c r="I3" s="52"/>
      <c r="J3" s="53"/>
    </row>
    <row r="4" spans="1:10" ht="16" customHeight="1">
      <c r="A4" s="49"/>
      <c r="B4" s="63" t="s">
        <v>66</v>
      </c>
      <c r="C4" s="54" t="s">
        <v>3</v>
      </c>
      <c r="D4" s="55"/>
      <c r="E4" s="12">
        <v>2000</v>
      </c>
      <c r="F4" s="13"/>
      <c r="G4" s="59" t="s">
        <v>99</v>
      </c>
      <c r="H4" s="59"/>
      <c r="I4" s="59"/>
      <c r="J4" s="60">
        <f>E7-J59</f>
        <v>-850</v>
      </c>
    </row>
    <row r="5" spans="1:10" ht="16" customHeight="1">
      <c r="A5" s="49"/>
      <c r="B5" s="64"/>
      <c r="C5" s="14" t="s">
        <v>67</v>
      </c>
      <c r="D5" s="15"/>
      <c r="E5" s="12">
        <v>1000</v>
      </c>
      <c r="F5" s="13"/>
      <c r="G5" s="59"/>
      <c r="H5" s="59"/>
      <c r="I5" s="59"/>
      <c r="J5" s="60"/>
    </row>
    <row r="6" spans="1:10" ht="16" customHeight="1">
      <c r="A6" s="49"/>
      <c r="B6" s="64"/>
      <c r="C6" s="54" t="s">
        <v>64</v>
      </c>
      <c r="D6" s="55"/>
      <c r="E6" s="12">
        <v>250</v>
      </c>
      <c r="F6" s="13"/>
      <c r="G6" s="59"/>
      <c r="H6" s="59"/>
      <c r="I6" s="59"/>
      <c r="J6" s="60"/>
    </row>
    <row r="7" spans="1:10" ht="16" customHeight="1">
      <c r="A7" s="49"/>
      <c r="B7" s="65"/>
      <c r="C7" s="61" t="s">
        <v>18</v>
      </c>
      <c r="D7" s="62"/>
      <c r="E7" s="16">
        <f>SUM(E4:E6)</f>
        <v>3250</v>
      </c>
      <c r="F7" s="13"/>
      <c r="G7" s="59" t="s">
        <v>100</v>
      </c>
      <c r="H7" s="59"/>
      <c r="I7" s="59"/>
      <c r="J7" s="60">
        <f>E11-J60</f>
        <v>336</v>
      </c>
    </row>
    <row r="8" spans="1:10" ht="16" customHeight="1">
      <c r="A8" s="49"/>
      <c r="B8" s="63" t="s">
        <v>32</v>
      </c>
      <c r="C8" s="54" t="s">
        <v>3</v>
      </c>
      <c r="D8" s="55"/>
      <c r="E8" s="12">
        <v>2500</v>
      </c>
      <c r="F8" s="13"/>
      <c r="G8" s="59"/>
      <c r="H8" s="59"/>
      <c r="I8" s="59"/>
      <c r="J8" s="60"/>
    </row>
    <row r="9" spans="1:10" ht="16" customHeight="1">
      <c r="A9" s="49"/>
      <c r="B9" s="64"/>
      <c r="C9" s="14" t="s">
        <v>67</v>
      </c>
      <c r="D9" s="15"/>
      <c r="E9" s="12">
        <v>1000</v>
      </c>
      <c r="F9" s="13"/>
      <c r="G9" s="59" t="s">
        <v>101</v>
      </c>
      <c r="H9" s="59"/>
      <c r="I9" s="59"/>
      <c r="J9" s="60">
        <f>J7-J4</f>
        <v>1186</v>
      </c>
    </row>
    <row r="10" spans="1:10" ht="16" customHeight="1">
      <c r="A10" s="49"/>
      <c r="B10" s="64"/>
      <c r="C10" s="54" t="s">
        <v>64</v>
      </c>
      <c r="D10" s="55"/>
      <c r="E10" s="12">
        <v>500</v>
      </c>
      <c r="F10" s="13"/>
      <c r="G10" s="59"/>
      <c r="H10" s="59"/>
      <c r="I10" s="59"/>
      <c r="J10" s="60"/>
    </row>
    <row r="11" spans="1:10" ht="16" customHeight="1">
      <c r="A11" s="49"/>
      <c r="B11" s="65"/>
      <c r="C11" s="61" t="s">
        <v>18</v>
      </c>
      <c r="D11" s="62"/>
      <c r="E11" s="16">
        <f>SUM(E8:E10)</f>
        <v>4000</v>
      </c>
      <c r="F11" s="13"/>
      <c r="G11" s="17"/>
      <c r="H11" s="17"/>
      <c r="I11" s="17"/>
      <c r="J11" s="18"/>
    </row>
    <row r="12" spans="1:10" ht="16" customHeight="1">
      <c r="A12" s="49"/>
      <c r="B12" s="19"/>
      <c r="C12" s="19"/>
      <c r="D12" s="20"/>
      <c r="E12" s="21"/>
      <c r="F12" s="13"/>
      <c r="G12" s="22" t="s">
        <v>25</v>
      </c>
      <c r="H12" s="23" t="s">
        <v>0</v>
      </c>
      <c r="I12" s="23" t="s">
        <v>1</v>
      </c>
      <c r="J12" s="24" t="s">
        <v>2</v>
      </c>
    </row>
    <row r="13" spans="1:10" ht="16" customHeight="1">
      <c r="A13" s="49"/>
      <c r="B13" s="22" t="s">
        <v>37</v>
      </c>
      <c r="C13" s="23" t="s">
        <v>0</v>
      </c>
      <c r="D13" s="23" t="s">
        <v>1</v>
      </c>
      <c r="E13" s="24" t="s">
        <v>2</v>
      </c>
      <c r="F13" s="25"/>
      <c r="G13" s="26" t="s">
        <v>40</v>
      </c>
      <c r="H13" s="27">
        <v>20</v>
      </c>
      <c r="I13" s="27">
        <v>50</v>
      </c>
      <c r="J13" s="28">
        <f>Table225[Projected Cost]-Table225[Actual Cost]</f>
        <v>-30</v>
      </c>
    </row>
    <row r="14" spans="1:10" ht="15.75" customHeight="1">
      <c r="A14" s="49"/>
      <c r="B14" s="26" t="s">
        <v>4</v>
      </c>
      <c r="C14" s="27">
        <v>1000</v>
      </c>
      <c r="D14" s="27">
        <v>1010</v>
      </c>
      <c r="E14" s="28">
        <f>Table114[Projected Cost]-Table114[Actual Cost]</f>
        <v>-10</v>
      </c>
      <c r="F14" s="29"/>
      <c r="G14" s="30" t="s">
        <v>41</v>
      </c>
      <c r="H14" s="31"/>
      <c r="I14" s="31"/>
      <c r="J14" s="32">
        <f>Table225[Projected Cost]-Table225[Actual Cost]</f>
        <v>0</v>
      </c>
    </row>
    <row r="15" spans="1:10" ht="15.75" customHeight="1">
      <c r="A15" s="49"/>
      <c r="B15" s="30" t="s">
        <v>6</v>
      </c>
      <c r="C15" s="31">
        <v>100</v>
      </c>
      <c r="D15" s="31">
        <v>200</v>
      </c>
      <c r="E15" s="32">
        <f>Table114[Projected Cost]-Table114[Actual Cost]</f>
        <v>-100</v>
      </c>
      <c r="F15" s="29"/>
      <c r="G15" s="26" t="s">
        <v>13</v>
      </c>
      <c r="H15" s="27">
        <v>25</v>
      </c>
      <c r="I15" s="27">
        <v>45</v>
      </c>
      <c r="J15" s="28">
        <f>Table225[Projected Cost]-Table225[Actual Cost]</f>
        <v>-20</v>
      </c>
    </row>
    <row r="16" spans="1:10" ht="15.75" customHeight="1">
      <c r="A16" s="49"/>
      <c r="B16" s="26" t="s">
        <v>7</v>
      </c>
      <c r="C16" s="27"/>
      <c r="D16" s="27"/>
      <c r="E16" s="28">
        <f>Table114[Projected Cost]-Table114[Actual Cost]</f>
        <v>0</v>
      </c>
      <c r="F16" s="29"/>
      <c r="G16" s="30" t="s">
        <v>14</v>
      </c>
      <c r="H16" s="31"/>
      <c r="I16" s="31"/>
      <c r="J16" s="32">
        <f>Table225[Projected Cost]-Table225[Actual Cost]</f>
        <v>0</v>
      </c>
    </row>
    <row r="17" spans="1:10" ht="15.75" customHeight="1">
      <c r="A17" s="49"/>
      <c r="B17" s="30" t="s">
        <v>8</v>
      </c>
      <c r="C17" s="31"/>
      <c r="D17" s="31"/>
      <c r="E17" s="32">
        <f>Table114[Projected Cost]-Table114[Actual Cost]</f>
        <v>0</v>
      </c>
      <c r="F17" s="29"/>
      <c r="G17" s="26" t="s">
        <v>21</v>
      </c>
      <c r="H17" s="27"/>
      <c r="I17" s="27"/>
      <c r="J17" s="28">
        <f>Table225[Projected Cost]-Table225[Actual Cost]</f>
        <v>0</v>
      </c>
    </row>
    <row r="18" spans="1:10" ht="15.75" customHeight="1">
      <c r="A18" s="49"/>
      <c r="B18" s="22" t="s">
        <v>35</v>
      </c>
      <c r="C18" s="31">
        <f>SUBTOTAL(109,Table114[Projected Cost])</f>
        <v>1100</v>
      </c>
      <c r="D18" s="31">
        <f>SUBTOTAL(109,Table114[Actual Cost])</f>
        <v>1210</v>
      </c>
      <c r="E18" s="33">
        <f>SUBTOTAL(109,Table114[Difference])</f>
        <v>-110</v>
      </c>
      <c r="F18" s="29"/>
      <c r="G18" s="30" t="s">
        <v>42</v>
      </c>
      <c r="H18" s="31">
        <v>50</v>
      </c>
      <c r="I18" s="31">
        <v>75</v>
      </c>
      <c r="J18" s="32">
        <f>Table225[Projected Cost]-Table225[Actual Cost]</f>
        <v>-25</v>
      </c>
    </row>
    <row r="19" spans="1:10" ht="15.75" customHeight="1">
      <c r="A19" s="49"/>
      <c r="B19" s="56"/>
      <c r="C19" s="56"/>
      <c r="D19" s="56"/>
      <c r="E19" s="56"/>
      <c r="F19" s="29"/>
      <c r="G19" s="26" t="s">
        <v>47</v>
      </c>
      <c r="H19" s="27"/>
      <c r="I19" s="27"/>
      <c r="J19" s="28">
        <f>Table225[Projected Cost]-Table225[Actual Cost]</f>
        <v>0</v>
      </c>
    </row>
    <row r="20" spans="1:10" ht="15.75" customHeight="1">
      <c r="A20" s="49"/>
      <c r="B20" s="22" t="s">
        <v>27</v>
      </c>
      <c r="C20" s="23" t="s">
        <v>0</v>
      </c>
      <c r="D20" s="23" t="s">
        <v>1</v>
      </c>
      <c r="E20" s="24" t="s">
        <v>2</v>
      </c>
      <c r="F20" s="29"/>
      <c r="G20" s="30" t="s">
        <v>8</v>
      </c>
      <c r="H20" s="31"/>
      <c r="I20" s="31"/>
      <c r="J20" s="32">
        <f>Table225[Projected Cost]-Table225[Actual Cost]</f>
        <v>0</v>
      </c>
    </row>
    <row r="21" spans="1:10" ht="15.75" customHeight="1">
      <c r="A21" s="49"/>
      <c r="B21" s="26" t="s">
        <v>20</v>
      </c>
      <c r="C21" s="27">
        <v>250</v>
      </c>
      <c r="D21" s="27">
        <v>250</v>
      </c>
      <c r="E21" s="28">
        <f>Table321[Projected Cost]-Table321[Actual Cost]</f>
        <v>0</v>
      </c>
      <c r="F21" s="29"/>
      <c r="G21" s="26" t="s">
        <v>8</v>
      </c>
      <c r="H21" s="27"/>
      <c r="I21" s="27"/>
      <c r="J21" s="28">
        <f>Table225[Projected Cost]-Table225[Actual Cost]</f>
        <v>0</v>
      </c>
    </row>
    <row r="22" spans="1:10" ht="15.75" customHeight="1">
      <c r="A22" s="49"/>
      <c r="B22" s="30" t="s">
        <v>51</v>
      </c>
      <c r="C22" s="31"/>
      <c r="D22" s="31"/>
      <c r="E22" s="32">
        <f>Table321[Projected Cost]-Table321[Actual Cost]</f>
        <v>0</v>
      </c>
      <c r="F22" s="29"/>
      <c r="G22" s="22" t="s">
        <v>35</v>
      </c>
      <c r="H22" s="34">
        <f>SUBTOTAL(109,Table225[Projected Cost])</f>
        <v>95</v>
      </c>
      <c r="I22" s="31">
        <f>SUBTOTAL(109,Table225[Actual Cost])</f>
        <v>170</v>
      </c>
      <c r="J22" s="33">
        <f>SUBTOTAL(109,Table225[Difference])</f>
        <v>-75</v>
      </c>
    </row>
    <row r="23" spans="1:10" ht="15.75" customHeight="1">
      <c r="A23" s="49"/>
      <c r="B23" s="26" t="s">
        <v>9</v>
      </c>
      <c r="C23" s="27"/>
      <c r="D23" s="27"/>
      <c r="E23" s="28">
        <f>Table321[Projected Cost]-Table321[Actual Cost]</f>
        <v>0</v>
      </c>
      <c r="F23" s="29"/>
      <c r="G23" s="67"/>
      <c r="H23" s="67"/>
      <c r="I23" s="67"/>
      <c r="J23" s="67"/>
    </row>
    <row r="24" spans="1:10" ht="15.75" customHeight="1">
      <c r="A24" s="49"/>
      <c r="B24" s="30" t="s">
        <v>5</v>
      </c>
      <c r="C24" s="31">
        <v>50</v>
      </c>
      <c r="D24" s="31">
        <v>60</v>
      </c>
      <c r="E24" s="32">
        <f>Table321[Projected Cost]-Table321[Actual Cost]</f>
        <v>-10</v>
      </c>
      <c r="F24" s="29"/>
      <c r="G24" s="22" t="s">
        <v>26</v>
      </c>
      <c r="H24" s="23" t="s">
        <v>0</v>
      </c>
      <c r="I24" s="23" t="s">
        <v>1</v>
      </c>
      <c r="J24" s="24" t="s">
        <v>2</v>
      </c>
    </row>
    <row r="25" spans="1:10" ht="15.75" customHeight="1">
      <c r="A25" s="49"/>
      <c r="B25" s="26" t="s">
        <v>10</v>
      </c>
      <c r="C25" s="27"/>
      <c r="D25" s="27"/>
      <c r="E25" s="28">
        <f>Table321[Projected Cost]-Table321[Actual Cost]</f>
        <v>0</v>
      </c>
      <c r="F25" s="29"/>
      <c r="G25" s="26" t="s">
        <v>43</v>
      </c>
      <c r="H25" s="27">
        <v>400</v>
      </c>
      <c r="I25" s="27">
        <v>400</v>
      </c>
      <c r="J25" s="28">
        <f>Table822[Projected Cost]-Table822[Actual Cost]</f>
        <v>0</v>
      </c>
    </row>
    <row r="26" spans="1:10" ht="15.75" customHeight="1">
      <c r="A26" s="49"/>
      <c r="B26" s="30" t="s">
        <v>8</v>
      </c>
      <c r="C26" s="31"/>
      <c r="D26" s="31"/>
      <c r="E26" s="32">
        <f>Table321[Projected Cost]-Table321[Actual Cost]</f>
        <v>0</v>
      </c>
      <c r="F26" s="29"/>
      <c r="G26" s="30" t="s">
        <v>44</v>
      </c>
      <c r="H26" s="31"/>
      <c r="I26" s="31"/>
      <c r="J26" s="32">
        <f>Table822[Projected Cost]-Table822[Actual Cost]</f>
        <v>0</v>
      </c>
    </row>
    <row r="27" spans="1:10" ht="15.75" customHeight="1">
      <c r="A27" s="49"/>
      <c r="B27" s="22" t="s">
        <v>35</v>
      </c>
      <c r="C27" s="31">
        <f>SUBTOTAL(109,Table321[Projected Cost])</f>
        <v>300</v>
      </c>
      <c r="D27" s="31">
        <f>SUBTOTAL(109,Table321[Actual Cost])</f>
        <v>310</v>
      </c>
      <c r="E27" s="33">
        <f>SUBTOTAL(109,Table321[Difference])</f>
        <v>-10</v>
      </c>
      <c r="F27" s="29"/>
      <c r="G27" s="26" t="s">
        <v>22</v>
      </c>
      <c r="H27" s="27"/>
      <c r="I27" s="27"/>
      <c r="J27" s="28">
        <f>Table822[Projected Cost]-Table822[Actual Cost]</f>
        <v>0</v>
      </c>
    </row>
    <row r="28" spans="1:10" ht="15.75" customHeight="1">
      <c r="A28" s="49"/>
      <c r="B28" s="56"/>
      <c r="C28" s="56"/>
      <c r="D28" s="56"/>
      <c r="E28" s="56"/>
      <c r="F28" s="29"/>
      <c r="G28" s="30" t="s">
        <v>22</v>
      </c>
      <c r="H28" s="31"/>
      <c r="I28" s="31"/>
      <c r="J28" s="32">
        <f>Table822[Projected Cost]-Table822[Actual Cost]</f>
        <v>0</v>
      </c>
    </row>
    <row r="29" spans="1:10" ht="15.75" customHeight="1">
      <c r="A29" s="49"/>
      <c r="B29" s="22" t="s">
        <v>36</v>
      </c>
      <c r="C29" s="23" t="s">
        <v>0</v>
      </c>
      <c r="D29" s="23" t="s">
        <v>1</v>
      </c>
      <c r="E29" s="24" t="s">
        <v>2</v>
      </c>
      <c r="F29" s="29"/>
      <c r="G29" s="26" t="s">
        <v>22</v>
      </c>
      <c r="H29" s="27">
        <v>100</v>
      </c>
      <c r="I29" s="27">
        <v>100</v>
      </c>
      <c r="J29" s="28">
        <f>Table822[Projected Cost]-Table822[Actual Cost]</f>
        <v>0</v>
      </c>
    </row>
    <row r="30" spans="1:10" ht="15.75" customHeight="1">
      <c r="A30" s="49"/>
      <c r="B30" s="26" t="s">
        <v>5</v>
      </c>
      <c r="C30" s="27">
        <v>50</v>
      </c>
      <c r="D30" s="27">
        <v>50</v>
      </c>
      <c r="E30" s="28">
        <f>Table415[Projected Cost]-Table415[Actual Cost]</f>
        <v>0</v>
      </c>
      <c r="F30" s="29"/>
      <c r="G30" s="30" t="s">
        <v>8</v>
      </c>
      <c r="H30" s="31"/>
      <c r="I30" s="31"/>
      <c r="J30" s="32">
        <f>Table822[Projected Cost]-Table822[Actual Cost]</f>
        <v>0</v>
      </c>
    </row>
    <row r="31" spans="1:10" ht="15.75" customHeight="1">
      <c r="A31" s="49"/>
      <c r="B31" s="30" t="s">
        <v>38</v>
      </c>
      <c r="C31" s="31">
        <v>100</v>
      </c>
      <c r="D31" s="31">
        <v>110</v>
      </c>
      <c r="E31" s="32">
        <f>Table415[Projected Cost]-Table415[Actual Cost]</f>
        <v>-10</v>
      </c>
      <c r="F31" s="29"/>
      <c r="G31" s="22" t="s">
        <v>35</v>
      </c>
      <c r="H31" s="31">
        <f>SUBTOTAL(109,Table822[Projected Cost])</f>
        <v>500</v>
      </c>
      <c r="I31" s="31">
        <f>SUBTOTAL(109,Table822[Actual Cost])</f>
        <v>500</v>
      </c>
      <c r="J31" s="33">
        <f>SUBTOTAL(109,Table822[Difference])</f>
        <v>0</v>
      </c>
    </row>
    <row r="32" spans="1:10" ht="15.75" customHeight="1">
      <c r="A32" s="49"/>
      <c r="B32" s="26" t="s">
        <v>39</v>
      </c>
      <c r="C32" s="27"/>
      <c r="D32" s="27"/>
      <c r="E32" s="28">
        <f>Table415[Projected Cost]-Table415[Actual Cost]</f>
        <v>0</v>
      </c>
      <c r="F32" s="29"/>
      <c r="G32" s="56"/>
      <c r="H32" s="56"/>
      <c r="I32" s="56"/>
      <c r="J32" s="56"/>
    </row>
    <row r="33" spans="1:10" ht="15.75" customHeight="1">
      <c r="A33" s="49"/>
      <c r="B33" s="30" t="s">
        <v>19</v>
      </c>
      <c r="C33" s="31"/>
      <c r="D33" s="31"/>
      <c r="E33" s="32">
        <f>Table415[Projected Cost]-Table415[Actual Cost]</f>
        <v>0</v>
      </c>
      <c r="F33" s="29"/>
      <c r="G33" s="22" t="s">
        <v>28</v>
      </c>
      <c r="H33" s="23" t="s">
        <v>0</v>
      </c>
      <c r="I33" s="23" t="s">
        <v>1</v>
      </c>
      <c r="J33" s="24" t="s">
        <v>2</v>
      </c>
    </row>
    <row r="34" spans="1:10" ht="15.75" customHeight="1">
      <c r="A34" s="49"/>
      <c r="B34" s="22" t="s">
        <v>35</v>
      </c>
      <c r="C34" s="31">
        <f>SUBTOTAL(109,Table415[Projected Cost])</f>
        <v>150</v>
      </c>
      <c r="D34" s="31">
        <f>SUBTOTAL(109,Table415[Actual Cost])</f>
        <v>160</v>
      </c>
      <c r="E34" s="33">
        <f>SUBTOTAL(109,Table415[Difference])</f>
        <v>-10</v>
      </c>
      <c r="F34" s="29"/>
      <c r="G34" s="26" t="s">
        <v>15</v>
      </c>
      <c r="H34" s="27">
        <v>25</v>
      </c>
      <c r="I34" s="27">
        <v>25</v>
      </c>
      <c r="J34" s="28">
        <f>Table920[Projected Cost]-Table920[Actual Cost]</f>
        <v>0</v>
      </c>
    </row>
    <row r="35" spans="1:10" ht="15.75" customHeight="1">
      <c r="A35" s="49"/>
      <c r="B35" s="56"/>
      <c r="C35" s="56"/>
      <c r="D35" s="56"/>
      <c r="E35" s="56"/>
      <c r="F35" s="29"/>
      <c r="G35" s="30" t="s">
        <v>16</v>
      </c>
      <c r="H35" s="31"/>
      <c r="I35" s="31"/>
      <c r="J35" s="32">
        <f>Table920[Projected Cost]-Table920[Actual Cost]</f>
        <v>0</v>
      </c>
    </row>
    <row r="36" spans="1:10" ht="15.75" customHeight="1">
      <c r="A36" s="49"/>
      <c r="B36" s="22" t="s">
        <v>29</v>
      </c>
      <c r="C36" s="23" t="s">
        <v>0</v>
      </c>
      <c r="D36" s="23" t="s">
        <v>1</v>
      </c>
      <c r="E36" s="24" t="s">
        <v>2</v>
      </c>
      <c r="F36" s="29"/>
      <c r="G36" s="26" t="s">
        <v>17</v>
      </c>
      <c r="H36" s="27"/>
      <c r="I36" s="27"/>
      <c r="J36" s="28">
        <f>Table920[Projected Cost]-Table920[Actual Cost]</f>
        <v>0</v>
      </c>
    </row>
    <row r="37" spans="1:10" ht="15.75" customHeight="1">
      <c r="A37" s="49"/>
      <c r="B37" s="26" t="s">
        <v>11</v>
      </c>
      <c r="C37" s="27">
        <v>500</v>
      </c>
      <c r="D37" s="27">
        <v>400</v>
      </c>
      <c r="E37" s="28">
        <f>Table519[Projected Cost]-Table519[Actual Cost]</f>
        <v>100</v>
      </c>
      <c r="F37" s="29"/>
      <c r="G37" s="30" t="s">
        <v>8</v>
      </c>
      <c r="H37" s="31"/>
      <c r="I37" s="31"/>
      <c r="J37" s="32">
        <f>Table920[Projected Cost]-Table920[Actual Cost]</f>
        <v>0</v>
      </c>
    </row>
    <row r="38" spans="1:10" ht="15.75" customHeight="1">
      <c r="A38" s="49"/>
      <c r="B38" s="30" t="s">
        <v>8</v>
      </c>
      <c r="C38" s="31"/>
      <c r="D38" s="31"/>
      <c r="E38" s="32">
        <f>Table519[Projected Cost]-Table519[Actual Cost]</f>
        <v>0</v>
      </c>
      <c r="F38" s="29"/>
      <c r="G38" s="22" t="s">
        <v>35</v>
      </c>
      <c r="H38" s="31">
        <f>SUBTOTAL(109,Table920[Projected Cost])</f>
        <v>25</v>
      </c>
      <c r="I38" s="31">
        <f>SUBTOTAL(109,Table920[Actual Cost])</f>
        <v>25</v>
      </c>
      <c r="J38" s="33">
        <f>SUBTOTAL(109,Table920[Difference])</f>
        <v>0</v>
      </c>
    </row>
    <row r="39" spans="1:10" ht="15.75" customHeight="1">
      <c r="A39" s="49"/>
      <c r="B39" s="22" t="s">
        <v>35</v>
      </c>
      <c r="C39" s="31">
        <f>SUBTOTAL(109,Table519[Projected Cost])</f>
        <v>500</v>
      </c>
      <c r="D39" s="31">
        <f>SUBTOTAL(109,Table519[Actual Cost])</f>
        <v>400</v>
      </c>
      <c r="E39" s="33">
        <f>SUBTOTAL(109,Table519[Difference])</f>
        <v>100</v>
      </c>
      <c r="F39" s="29"/>
      <c r="G39" s="56"/>
      <c r="H39" s="56"/>
      <c r="I39" s="56"/>
      <c r="J39" s="56"/>
    </row>
    <row r="40" spans="1:10" ht="15.75" customHeight="1">
      <c r="A40" s="49"/>
      <c r="B40" s="56"/>
      <c r="C40" s="56"/>
      <c r="D40" s="56"/>
      <c r="E40" s="56"/>
      <c r="F40" s="29"/>
      <c r="G40" s="22" t="s">
        <v>30</v>
      </c>
      <c r="H40" s="23" t="s">
        <v>0</v>
      </c>
      <c r="I40" s="23" t="s">
        <v>1</v>
      </c>
      <c r="J40" s="24" t="s">
        <v>2</v>
      </c>
    </row>
    <row r="41" spans="1:10" ht="15.75" customHeight="1">
      <c r="A41" s="49"/>
      <c r="B41" s="22" t="s">
        <v>48</v>
      </c>
      <c r="C41" s="23" t="s">
        <v>0</v>
      </c>
      <c r="D41" s="23" t="s">
        <v>1</v>
      </c>
      <c r="E41" s="24" t="s">
        <v>2</v>
      </c>
      <c r="F41" s="29"/>
      <c r="G41" s="26" t="s">
        <v>23</v>
      </c>
      <c r="H41" s="27"/>
      <c r="I41" s="27"/>
      <c r="J41" s="28">
        <f>Table1023[Projected Cost]-Table1023[Actual Cost]</f>
        <v>0</v>
      </c>
    </row>
    <row r="42" spans="1:10" ht="15.75" customHeight="1">
      <c r="A42" s="49"/>
      <c r="B42" s="26" t="s">
        <v>45</v>
      </c>
      <c r="C42" s="27">
        <v>50</v>
      </c>
      <c r="D42" s="27">
        <v>50</v>
      </c>
      <c r="E42" s="28">
        <f>Table617[Projected Cost]-Table617[Actual Cost]</f>
        <v>0</v>
      </c>
      <c r="F42" s="29"/>
      <c r="G42" s="30" t="s">
        <v>24</v>
      </c>
      <c r="H42" s="31"/>
      <c r="I42" s="31"/>
      <c r="J42" s="32">
        <f>Table1023[Projected Cost]-Table1023[Actual Cost]</f>
        <v>0</v>
      </c>
    </row>
    <row r="43" spans="1:10" ht="15.75" customHeight="1">
      <c r="A43" s="49"/>
      <c r="B43" s="30" t="s">
        <v>46</v>
      </c>
      <c r="C43" s="31"/>
      <c r="D43" s="31"/>
      <c r="E43" s="32">
        <f>Table617[Projected Cost]-Table617[Actual Cost]</f>
        <v>0</v>
      </c>
      <c r="F43" s="29"/>
      <c r="G43" s="26" t="s">
        <v>63</v>
      </c>
      <c r="H43" s="27">
        <v>1000</v>
      </c>
      <c r="I43" s="27">
        <v>250</v>
      </c>
      <c r="J43" s="28">
        <f>Table1023[Projected Cost]-Table1023[Actual Cost]</f>
        <v>750</v>
      </c>
    </row>
    <row r="44" spans="1:10" ht="15.75" customHeight="1">
      <c r="A44" s="49"/>
      <c r="B44" s="26" t="s">
        <v>49</v>
      </c>
      <c r="C44" s="27">
        <v>25</v>
      </c>
      <c r="D44" s="27">
        <v>0</v>
      </c>
      <c r="E44" s="28">
        <f>Table617[Projected Cost]-Table617[Actual Cost]</f>
        <v>25</v>
      </c>
      <c r="F44" s="29"/>
      <c r="G44" s="22" t="s">
        <v>35</v>
      </c>
      <c r="H44" s="31">
        <f>SUBTOTAL(109,Table1023[Projected Cost])</f>
        <v>1000</v>
      </c>
      <c r="I44" s="31">
        <f>SUBTOTAL(109,Table1023[Actual Cost])</f>
        <v>250</v>
      </c>
      <c r="J44" s="33">
        <f>SUBTOTAL(109,Table1023[Difference])</f>
        <v>750</v>
      </c>
    </row>
    <row r="45" spans="1:10" ht="15.75" customHeight="1">
      <c r="A45" s="49"/>
      <c r="B45" s="30" t="s">
        <v>50</v>
      </c>
      <c r="C45" s="31">
        <v>50</v>
      </c>
      <c r="D45" s="31">
        <v>100</v>
      </c>
      <c r="E45" s="32">
        <f>Table617[Projected Cost]-Table617[Actual Cost]</f>
        <v>-50</v>
      </c>
      <c r="F45" s="29"/>
      <c r="G45" s="56"/>
      <c r="H45" s="56"/>
      <c r="I45" s="56"/>
      <c r="J45" s="56"/>
    </row>
    <row r="46" spans="1:10" ht="15.75" customHeight="1">
      <c r="A46" s="49"/>
      <c r="B46" s="26" t="s">
        <v>8</v>
      </c>
      <c r="C46" s="27"/>
      <c r="D46" s="27"/>
      <c r="E46" s="28">
        <f>Table617[Projected Cost]-Table617[Actual Cost]</f>
        <v>0</v>
      </c>
      <c r="F46" s="29"/>
      <c r="G46" s="22" t="s">
        <v>53</v>
      </c>
      <c r="H46" s="23" t="s">
        <v>0</v>
      </c>
      <c r="I46" s="23" t="s">
        <v>1</v>
      </c>
      <c r="J46" s="24" t="s">
        <v>2</v>
      </c>
    </row>
    <row r="47" spans="1:10" ht="15.75" customHeight="1">
      <c r="A47" s="49"/>
      <c r="B47" s="22" t="s">
        <v>35</v>
      </c>
      <c r="C47" s="31">
        <f>SUBTOTAL(109,Table617[Projected Cost])</f>
        <v>125</v>
      </c>
      <c r="D47" s="31">
        <f>SUBTOTAL(109,Table617[Actual Cost])</f>
        <v>150</v>
      </c>
      <c r="E47" s="33">
        <f>SUBTOTAL(109,Table617[Difference])</f>
        <v>-25</v>
      </c>
      <c r="F47" s="29"/>
      <c r="G47" s="26" t="s">
        <v>9</v>
      </c>
      <c r="H47" s="27">
        <v>100</v>
      </c>
      <c r="I47" s="27">
        <v>300</v>
      </c>
      <c r="J47" s="28">
        <f>Table1118[Projected Cost]-Table1118[Actual Cost]</f>
        <v>-200</v>
      </c>
    </row>
    <row r="48" spans="1:10" ht="15.75" customHeight="1">
      <c r="A48" s="49"/>
      <c r="B48" s="56"/>
      <c r="C48" s="56"/>
      <c r="D48" s="56"/>
      <c r="E48" s="56"/>
      <c r="F48" s="29"/>
      <c r="G48" s="30" t="s">
        <v>57</v>
      </c>
      <c r="H48" s="31"/>
      <c r="I48" s="31"/>
      <c r="J48" s="32">
        <f>Table1118[Projected Cost]-Table1118[Actual Cost]</f>
        <v>0</v>
      </c>
    </row>
    <row r="49" spans="1:10" ht="15.75" customHeight="1">
      <c r="A49" s="49"/>
      <c r="B49" s="22" t="s">
        <v>31</v>
      </c>
      <c r="C49" s="23" t="s">
        <v>0</v>
      </c>
      <c r="D49" s="23" t="s">
        <v>1</v>
      </c>
      <c r="E49" s="24" t="s">
        <v>2</v>
      </c>
      <c r="F49" s="29"/>
      <c r="G49" s="26" t="s">
        <v>58</v>
      </c>
      <c r="H49" s="27">
        <v>75</v>
      </c>
      <c r="I49" s="27">
        <v>50</v>
      </c>
      <c r="J49" s="28">
        <f>Table1118[Projected Cost]-Table1118[Actual Cost]</f>
        <v>25</v>
      </c>
    </row>
    <row r="50" spans="1:10" ht="15.75" customHeight="1">
      <c r="A50" s="49"/>
      <c r="B50" s="26" t="s">
        <v>55</v>
      </c>
      <c r="C50" s="27">
        <v>15</v>
      </c>
      <c r="D50" s="27">
        <v>25</v>
      </c>
      <c r="E50" s="28">
        <f>Table724[Projected Cost]-Table724[Actual Cost]</f>
        <v>-10</v>
      </c>
      <c r="F50" s="29"/>
      <c r="G50" s="22" t="s">
        <v>35</v>
      </c>
      <c r="H50" s="31">
        <f>SUBTOTAL(109,Table1118[Projected Cost])</f>
        <v>175</v>
      </c>
      <c r="I50" s="31">
        <f>SUBTOTAL(109,Table1118[Actual Cost])</f>
        <v>350</v>
      </c>
      <c r="J50" s="33">
        <f>SUBTOTAL(109,Table1118[Difference])</f>
        <v>-175</v>
      </c>
    </row>
    <row r="51" spans="1:10" ht="15.75" customHeight="1">
      <c r="A51" s="49"/>
      <c r="B51" s="30" t="s">
        <v>56</v>
      </c>
      <c r="C51" s="31">
        <v>10</v>
      </c>
      <c r="D51" s="31">
        <v>20</v>
      </c>
      <c r="E51" s="32">
        <f>Table724[Projected Cost]-Table724[Actual Cost]</f>
        <v>-10</v>
      </c>
      <c r="F51" s="29"/>
      <c r="G51" s="56"/>
      <c r="H51" s="56"/>
      <c r="I51" s="56"/>
      <c r="J51" s="56"/>
    </row>
    <row r="52" spans="1:10" ht="15.75" customHeight="1">
      <c r="A52" s="49"/>
      <c r="B52" s="26" t="s">
        <v>12</v>
      </c>
      <c r="C52" s="27"/>
      <c r="D52" s="27"/>
      <c r="E52" s="28">
        <f>Table724[Projected Cost]-Table724[Actual Cost]</f>
        <v>0</v>
      </c>
      <c r="F52" s="29"/>
      <c r="G52" s="22" t="s">
        <v>59</v>
      </c>
      <c r="H52" s="23" t="s">
        <v>0</v>
      </c>
      <c r="I52" s="23" t="s">
        <v>1</v>
      </c>
      <c r="J52" s="24" t="s">
        <v>2</v>
      </c>
    </row>
    <row r="53" spans="1:10" ht="15.75" customHeight="1">
      <c r="A53" s="49"/>
      <c r="B53" s="30" t="s">
        <v>54</v>
      </c>
      <c r="C53" s="31">
        <v>25</v>
      </c>
      <c r="D53" s="31">
        <v>15</v>
      </c>
      <c r="E53" s="32">
        <f>Table724[Projected Cost]-Table724[Actual Cost]</f>
        <v>10</v>
      </c>
      <c r="F53" s="29"/>
      <c r="G53" s="26" t="s">
        <v>60</v>
      </c>
      <c r="H53" s="27">
        <v>50</v>
      </c>
      <c r="I53" s="27">
        <v>50</v>
      </c>
      <c r="J53" s="28">
        <f>Table1216[Projected Cost]-Table1216[Actual Cost]</f>
        <v>0</v>
      </c>
    </row>
    <row r="54" spans="1:10" ht="15.75" customHeight="1">
      <c r="A54" s="49"/>
      <c r="B54" s="26" t="s">
        <v>52</v>
      </c>
      <c r="C54" s="27">
        <v>30</v>
      </c>
      <c r="D54" s="27">
        <v>29</v>
      </c>
      <c r="E54" s="28">
        <f>Table724[Projected Cost]-Table724[Actual Cost]</f>
        <v>1</v>
      </c>
      <c r="F54" s="29"/>
      <c r="G54" s="30" t="s">
        <v>61</v>
      </c>
      <c r="H54" s="31"/>
      <c r="I54" s="31"/>
      <c r="J54" s="32">
        <f>Table1216[Projected Cost]-Table1216[Actual Cost]</f>
        <v>0</v>
      </c>
    </row>
    <row r="55" spans="1:10" ht="15.75" customHeight="1">
      <c r="A55" s="49"/>
      <c r="B55" s="30" t="s">
        <v>8</v>
      </c>
      <c r="C55" s="31"/>
      <c r="D55" s="31"/>
      <c r="E55" s="32">
        <f>Table724[Projected Cost]-Table724[Actual Cost]</f>
        <v>0</v>
      </c>
      <c r="F55" s="29"/>
      <c r="G55" s="26" t="s">
        <v>62</v>
      </c>
      <c r="H55" s="27"/>
      <c r="I55" s="27"/>
      <c r="J55" s="28">
        <f>Table1216[Projected Cost]-Table1216[Actual Cost]</f>
        <v>0</v>
      </c>
    </row>
    <row r="56" spans="1:10" ht="15.75" customHeight="1">
      <c r="A56" s="49"/>
      <c r="B56" s="26" t="s">
        <v>8</v>
      </c>
      <c r="C56" s="27"/>
      <c r="D56" s="27"/>
      <c r="E56" s="28">
        <f>Table724[Projected Cost]-Table724[Actual Cost]</f>
        <v>0</v>
      </c>
      <c r="F56" s="29"/>
      <c r="G56" s="30" t="s">
        <v>8</v>
      </c>
      <c r="H56" s="31"/>
      <c r="I56" s="31"/>
      <c r="J56" s="32">
        <f>Table1216[Projected Cost]-Table1216[Actual Cost]</f>
        <v>0</v>
      </c>
    </row>
    <row r="57" spans="1:10" ht="15.75" customHeight="1">
      <c r="A57" s="49"/>
      <c r="B57" s="22" t="s">
        <v>35</v>
      </c>
      <c r="C57" s="31">
        <f>SUBTOTAL(109,Table724[Projected Cost])</f>
        <v>80</v>
      </c>
      <c r="D57" s="31">
        <f>SUBTOTAL(109,Table724[Actual Cost])</f>
        <v>89</v>
      </c>
      <c r="E57" s="33">
        <f>SUBTOTAL(109,Table724[Difference])</f>
        <v>-9</v>
      </c>
      <c r="F57" s="29"/>
      <c r="G57" s="22" t="s">
        <v>35</v>
      </c>
      <c r="H57" s="31">
        <f>SUBTOTAL(109,Table1216[Projected Cost])</f>
        <v>50</v>
      </c>
      <c r="I57" s="31">
        <f>SUBTOTAL(109,Table1216[Actual Cost])</f>
        <v>50</v>
      </c>
      <c r="J57" s="33">
        <f>SUBTOTAL(109,Table1216[Difference])</f>
        <v>0</v>
      </c>
    </row>
    <row r="58" spans="1:10" ht="15.75" customHeight="1">
      <c r="A58" s="49"/>
      <c r="F58" s="29"/>
      <c r="G58" s="57"/>
      <c r="H58" s="57"/>
      <c r="I58" s="57"/>
      <c r="J58" s="57"/>
    </row>
    <row r="59" spans="1:10" ht="30" customHeight="1">
      <c r="A59" s="49"/>
      <c r="F59" s="36"/>
      <c r="G59" s="37" t="s">
        <v>33</v>
      </c>
      <c r="H59" s="38"/>
      <c r="I59" s="39"/>
      <c r="J59" s="40">
        <f>SUM(C18,C27,C34,C39,C47,C57,H22,H31,H38,H44,H50,H57)</f>
        <v>4100</v>
      </c>
    </row>
    <row r="60" spans="1:10" ht="31.5" customHeight="1">
      <c r="A60" s="49"/>
      <c r="F60" s="36"/>
      <c r="G60" s="37" t="s">
        <v>73</v>
      </c>
      <c r="H60" s="38"/>
      <c r="I60" s="39"/>
      <c r="J60" s="40">
        <f>SUM(D18,D27,D34,D39,D47,D57,I22,I31,I38,I44,I50,I57)</f>
        <v>3664</v>
      </c>
    </row>
    <row r="61" spans="1:10" ht="31.5" customHeight="1">
      <c r="A61" s="49"/>
      <c r="F61" s="36"/>
      <c r="G61" s="37" t="s">
        <v>34</v>
      </c>
      <c r="H61" s="38"/>
      <c r="I61" s="39"/>
      <c r="J61" s="40">
        <f>SUM(E18,E27,E34,E39,E47,E57,J22,J31,J38,J44,J50,J57)</f>
        <v>436</v>
      </c>
    </row>
    <row r="62" spans="1:10" ht="15.75" customHeight="1">
      <c r="A62" s="49"/>
      <c r="F62" s="36"/>
    </row>
    <row r="63" spans="1:10" ht="15.75" customHeight="1">
      <c r="G63" s="41" t="s">
        <v>65</v>
      </c>
      <c r="H63" s="42"/>
    </row>
    <row r="64" spans="1:10">
      <c r="G64" s="43" t="str">
        <f>Table114[[#Headers],[HOME]]</f>
        <v>HOME</v>
      </c>
      <c r="H64" s="44">
        <f>Table114[[#Totals],[Actual Cost]]</f>
        <v>1210</v>
      </c>
    </row>
    <row r="65" spans="7:8">
      <c r="G65" s="45" t="str">
        <f>Table321[[#Headers],[TRANSPORTATION]]</f>
        <v>TRANSPORTATION</v>
      </c>
      <c r="H65" s="46">
        <f>Table321[[#Totals],[Actual Cost]]</f>
        <v>310</v>
      </c>
    </row>
    <row r="66" spans="7:8">
      <c r="G66" s="41" t="str">
        <f>Table415[[#Headers],[UTILITIES]]</f>
        <v>UTILITIES</v>
      </c>
      <c r="H66" s="42">
        <f>Table415[[#Totals],[Actual Cost]]</f>
        <v>160</v>
      </c>
    </row>
    <row r="67" spans="7:8">
      <c r="G67" s="43" t="str">
        <f>Table519[[#Headers],[FOOD]]</f>
        <v>FOOD</v>
      </c>
      <c r="H67" s="44">
        <f>Table519[[#Totals],[Actual Cost]]</f>
        <v>400</v>
      </c>
    </row>
    <row r="68" spans="7:8">
      <c r="G68" s="45" t="str">
        <f>Table617[[#Headers],[CONNECTIONS]]</f>
        <v>CONNECTIONS</v>
      </c>
      <c r="H68" s="46">
        <f>Table617[[#Totals],[Actual Cost]]</f>
        <v>150</v>
      </c>
    </row>
    <row r="69" spans="7:8">
      <c r="G69" s="41" t="str">
        <f>Table724[[#Headers],[PERSONAL CARE]]</f>
        <v>PERSONAL CARE</v>
      </c>
      <c r="H69" s="42">
        <f>Table724[[#Totals],[Actual Cost]]</f>
        <v>89</v>
      </c>
    </row>
    <row r="70" spans="7:8">
      <c r="G70" s="43" t="str">
        <f>Table225[[#Headers],[ENTERTAINMENT]]</f>
        <v>ENTERTAINMENT</v>
      </c>
      <c r="H70" s="44">
        <f>Table225[[#Totals],[Actual Cost]]</f>
        <v>170</v>
      </c>
    </row>
    <row r="71" spans="7:8">
      <c r="G71" s="45" t="str">
        <f>Table822[[#Headers],[LOANS]]</f>
        <v>LOANS</v>
      </c>
      <c r="H71" s="46">
        <f>Table822[[#Totals],[Actual Cost]]</f>
        <v>500</v>
      </c>
    </row>
    <row r="72" spans="7:8">
      <c r="G72" s="41" t="str">
        <f>Table920[[#Headers],[TAXES]]</f>
        <v>TAXES</v>
      </c>
      <c r="H72" s="42">
        <f>Table920[[#Totals],[Actual Cost]]</f>
        <v>25</v>
      </c>
    </row>
    <row r="73" spans="7:8">
      <c r="G73" s="43" t="str">
        <f>Table1023[[#Headers],[SAVINGS OR INVESTMENTS]]</f>
        <v>SAVINGS OR INVESTMENTS</v>
      </c>
      <c r="H73" s="44">
        <f>Table1023[[#Totals],[Actual Cost]]</f>
        <v>250</v>
      </c>
    </row>
    <row r="74" spans="7:8">
      <c r="G74" s="45" t="str">
        <f>Table1118[[#Headers],[MEDICAL]]</f>
        <v>MEDICAL</v>
      </c>
      <c r="H74" s="46">
        <f>Table1118[[#Totals],[Actual Cost]]</f>
        <v>350</v>
      </c>
    </row>
    <row r="75" spans="7:8">
      <c r="G75" s="41" t="str">
        <f>Table1216[[#Headers],[MISC]]</f>
        <v>MISC</v>
      </c>
      <c r="H75" s="42">
        <f>Table1216[[#Totals],[Actual Cost]]</f>
        <v>50</v>
      </c>
    </row>
    <row r="76" spans="7:8">
      <c r="G76" s="43" t="s">
        <v>35</v>
      </c>
      <c r="H76" s="44">
        <f>SUM(H64:H75)</f>
        <v>3664</v>
      </c>
    </row>
  </sheetData>
  <mergeCells count="27">
    <mergeCell ref="B2:J2"/>
    <mergeCell ref="B3:D3"/>
    <mergeCell ref="B4:B7"/>
    <mergeCell ref="C4:D4"/>
    <mergeCell ref="G4:I6"/>
    <mergeCell ref="J4:J6"/>
    <mergeCell ref="C6:D6"/>
    <mergeCell ref="C7:D7"/>
    <mergeCell ref="G7:I8"/>
    <mergeCell ref="J7:J8"/>
    <mergeCell ref="G39:J39"/>
    <mergeCell ref="B8:B11"/>
    <mergeCell ref="C8:D8"/>
    <mergeCell ref="G9:I10"/>
    <mergeCell ref="J9:J10"/>
    <mergeCell ref="C10:D10"/>
    <mergeCell ref="C11:D11"/>
    <mergeCell ref="B19:E19"/>
    <mergeCell ref="G23:J23"/>
    <mergeCell ref="B28:E28"/>
    <mergeCell ref="G32:J32"/>
    <mergeCell ref="B35:E35"/>
    <mergeCell ref="B40:E40"/>
    <mergeCell ref="G45:J45"/>
    <mergeCell ref="B48:E48"/>
    <mergeCell ref="G51:J51"/>
    <mergeCell ref="G58:J58"/>
  </mergeCells>
  <conditionalFormatting sqref="J13:J22 E42:E47 E30:E34 E14:E18 E21:E27 E37:E39 E50:E57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0.39997558519241921"/>
    <pageSetUpPr autoPageBreaks="0" fitToPage="1"/>
  </sheetPr>
  <dimension ref="A1:J76"/>
  <sheetViews>
    <sheetView showGridLines="0" workbookViewId="0">
      <selection activeCell="D30" sqref="D30:D33"/>
    </sheetView>
  </sheetViews>
  <sheetFormatPr baseColWidth="10" defaultColWidth="8.83203125" defaultRowHeight="13" x14ac:dyDescent="0"/>
  <cols>
    <col min="1" max="1" width="1.6640625" style="35" customWidth="1"/>
    <col min="2" max="2" width="28.33203125" style="35" bestFit="1" customWidth="1"/>
    <col min="3" max="3" width="17.1640625" style="35" bestFit="1" customWidth="1"/>
    <col min="4" max="4" width="14" style="35" bestFit="1" customWidth="1"/>
    <col min="5" max="5" width="12.83203125" style="35" bestFit="1" customWidth="1"/>
    <col min="6" max="6" width="2.83203125" style="35" customWidth="1"/>
    <col min="7" max="7" width="31.1640625" style="35" bestFit="1" customWidth="1"/>
    <col min="8" max="8" width="17.1640625" style="35" bestFit="1" customWidth="1"/>
    <col min="9" max="9" width="14" style="35" bestFit="1" customWidth="1"/>
    <col min="10" max="10" width="12.83203125" style="35" bestFit="1" customWidth="1"/>
    <col min="11" max="16384" width="8.83203125" style="35"/>
  </cols>
  <sheetData>
    <row r="1" spans="1:10" ht="8" customHeight="1">
      <c r="A1" s="47"/>
      <c r="B1" s="48"/>
      <c r="C1" s="48"/>
      <c r="D1" s="48"/>
      <c r="E1" s="48"/>
      <c r="F1" s="48"/>
      <c r="G1" s="48"/>
      <c r="H1" s="48"/>
      <c r="I1" s="48"/>
      <c r="J1" s="49"/>
    </row>
    <row r="2" spans="1:10" ht="52" customHeight="1">
      <c r="A2" s="47"/>
      <c r="B2" s="68" t="s">
        <v>82</v>
      </c>
      <c r="C2" s="68"/>
      <c r="D2" s="68"/>
      <c r="E2" s="68"/>
      <c r="F2" s="68"/>
      <c r="G2" s="68"/>
      <c r="H2" s="68"/>
      <c r="I2" s="68"/>
      <c r="J2" s="68"/>
    </row>
    <row r="3" spans="1:10" ht="8" customHeight="1">
      <c r="A3" s="49"/>
      <c r="B3" s="69"/>
      <c r="C3" s="69"/>
      <c r="D3" s="69"/>
      <c r="E3" s="50"/>
      <c r="F3" s="13"/>
      <c r="G3" s="50"/>
      <c r="H3" s="51"/>
      <c r="I3" s="52"/>
      <c r="J3" s="53"/>
    </row>
    <row r="4" spans="1:10" ht="16" customHeight="1">
      <c r="A4" s="49"/>
      <c r="B4" s="63" t="s">
        <v>66</v>
      </c>
      <c r="C4" s="54" t="s">
        <v>3</v>
      </c>
      <c r="D4" s="55"/>
      <c r="E4" s="12">
        <v>2000</v>
      </c>
      <c r="F4" s="13"/>
      <c r="G4" s="59" t="s">
        <v>99</v>
      </c>
      <c r="H4" s="59"/>
      <c r="I4" s="59"/>
      <c r="J4" s="60">
        <f>E7-J59</f>
        <v>-750</v>
      </c>
    </row>
    <row r="5" spans="1:10" ht="16" customHeight="1">
      <c r="A5" s="49"/>
      <c r="B5" s="64"/>
      <c r="C5" s="14" t="s">
        <v>67</v>
      </c>
      <c r="D5" s="15"/>
      <c r="E5" s="12">
        <v>1000</v>
      </c>
      <c r="F5" s="13"/>
      <c r="G5" s="59"/>
      <c r="H5" s="59"/>
      <c r="I5" s="59"/>
      <c r="J5" s="60"/>
    </row>
    <row r="6" spans="1:10" ht="16" customHeight="1">
      <c r="A6" s="49"/>
      <c r="B6" s="64"/>
      <c r="C6" s="54" t="s">
        <v>64</v>
      </c>
      <c r="D6" s="55"/>
      <c r="E6" s="12">
        <v>250</v>
      </c>
      <c r="F6" s="13"/>
      <c r="G6" s="59"/>
      <c r="H6" s="59"/>
      <c r="I6" s="59"/>
      <c r="J6" s="60"/>
    </row>
    <row r="7" spans="1:10" ht="16" customHeight="1">
      <c r="A7" s="49"/>
      <c r="B7" s="65"/>
      <c r="C7" s="61" t="s">
        <v>18</v>
      </c>
      <c r="D7" s="62"/>
      <c r="E7" s="16">
        <f>SUM(E4:E6)</f>
        <v>3250</v>
      </c>
      <c r="F7" s="13"/>
      <c r="G7" s="59" t="s">
        <v>100</v>
      </c>
      <c r="H7" s="59"/>
      <c r="I7" s="59"/>
      <c r="J7" s="60">
        <f>E11-J60</f>
        <v>636</v>
      </c>
    </row>
    <row r="8" spans="1:10" ht="16" customHeight="1">
      <c r="A8" s="49"/>
      <c r="B8" s="63" t="s">
        <v>32</v>
      </c>
      <c r="C8" s="54" t="s">
        <v>3</v>
      </c>
      <c r="D8" s="55"/>
      <c r="E8" s="12">
        <v>2500</v>
      </c>
      <c r="F8" s="13"/>
      <c r="G8" s="59"/>
      <c r="H8" s="59"/>
      <c r="I8" s="59"/>
      <c r="J8" s="60"/>
    </row>
    <row r="9" spans="1:10" ht="16" customHeight="1">
      <c r="A9" s="49"/>
      <c r="B9" s="64"/>
      <c r="C9" s="14" t="s">
        <v>67</v>
      </c>
      <c r="D9" s="15"/>
      <c r="E9" s="12">
        <v>1000</v>
      </c>
      <c r="F9" s="13"/>
      <c r="G9" s="59" t="s">
        <v>101</v>
      </c>
      <c r="H9" s="59"/>
      <c r="I9" s="59"/>
      <c r="J9" s="60">
        <f>J7-J4</f>
        <v>1386</v>
      </c>
    </row>
    <row r="10" spans="1:10" ht="16" customHeight="1">
      <c r="A10" s="49"/>
      <c r="B10" s="64"/>
      <c r="C10" s="54" t="s">
        <v>64</v>
      </c>
      <c r="D10" s="55"/>
      <c r="E10" s="12">
        <v>500</v>
      </c>
      <c r="F10" s="13"/>
      <c r="G10" s="59"/>
      <c r="H10" s="59"/>
      <c r="I10" s="59"/>
      <c r="J10" s="60"/>
    </row>
    <row r="11" spans="1:10" ht="16" customHeight="1">
      <c r="A11" s="49"/>
      <c r="B11" s="65"/>
      <c r="C11" s="61" t="s">
        <v>18</v>
      </c>
      <c r="D11" s="62"/>
      <c r="E11" s="16">
        <f>SUM(E8:E10)</f>
        <v>4000</v>
      </c>
      <c r="F11" s="13"/>
      <c r="G11" s="17"/>
      <c r="H11" s="17"/>
      <c r="I11" s="17"/>
      <c r="J11" s="18"/>
    </row>
    <row r="12" spans="1:10" ht="16" customHeight="1">
      <c r="A12" s="49"/>
      <c r="B12" s="19"/>
      <c r="C12" s="19"/>
      <c r="D12" s="20"/>
      <c r="E12" s="21"/>
      <c r="F12" s="13"/>
      <c r="G12" s="22" t="s">
        <v>25</v>
      </c>
      <c r="H12" s="23" t="s">
        <v>0</v>
      </c>
      <c r="I12" s="23" t="s">
        <v>1</v>
      </c>
      <c r="J12" s="24" t="s">
        <v>2</v>
      </c>
    </row>
    <row r="13" spans="1:10" ht="16" customHeight="1">
      <c r="A13" s="49"/>
      <c r="B13" s="22" t="s">
        <v>37</v>
      </c>
      <c r="C13" s="23" t="s">
        <v>0</v>
      </c>
      <c r="D13" s="23" t="s">
        <v>1</v>
      </c>
      <c r="E13" s="24" t="s">
        <v>2</v>
      </c>
      <c r="F13" s="25"/>
      <c r="G13" s="26" t="s">
        <v>40</v>
      </c>
      <c r="H13" s="27">
        <v>20</v>
      </c>
      <c r="I13" s="27">
        <v>50</v>
      </c>
      <c r="J13" s="28">
        <f>Table22573[Projected Cost]-Table22573[Actual Cost]</f>
        <v>-30</v>
      </c>
    </row>
    <row r="14" spans="1:10" ht="15.75" customHeight="1">
      <c r="A14" s="49"/>
      <c r="B14" s="26" t="s">
        <v>4</v>
      </c>
      <c r="C14" s="27">
        <v>1000</v>
      </c>
      <c r="D14" s="27">
        <v>1010</v>
      </c>
      <c r="E14" s="28">
        <f>Table11462[Projected Cost]-Table11462[Actual Cost]</f>
        <v>-10</v>
      </c>
      <c r="F14" s="29"/>
      <c r="G14" s="30" t="s">
        <v>41</v>
      </c>
      <c r="H14" s="31"/>
      <c r="I14" s="31"/>
      <c r="J14" s="32">
        <f>Table22573[Projected Cost]-Table22573[Actual Cost]</f>
        <v>0</v>
      </c>
    </row>
    <row r="15" spans="1:10" ht="15.75" customHeight="1">
      <c r="A15" s="49"/>
      <c r="B15" s="30" t="s">
        <v>6</v>
      </c>
      <c r="C15" s="31">
        <v>100</v>
      </c>
      <c r="D15" s="31">
        <v>200</v>
      </c>
      <c r="E15" s="32">
        <f>Table11462[Projected Cost]-Table11462[Actual Cost]</f>
        <v>-100</v>
      </c>
      <c r="F15" s="29"/>
      <c r="G15" s="26" t="s">
        <v>13</v>
      </c>
      <c r="H15" s="27">
        <v>25</v>
      </c>
      <c r="I15" s="27">
        <v>45</v>
      </c>
      <c r="J15" s="28">
        <f>Table22573[Projected Cost]-Table22573[Actual Cost]</f>
        <v>-20</v>
      </c>
    </row>
    <row r="16" spans="1:10" ht="15.75" customHeight="1">
      <c r="A16" s="49"/>
      <c r="B16" s="26" t="s">
        <v>7</v>
      </c>
      <c r="C16" s="27"/>
      <c r="D16" s="27"/>
      <c r="E16" s="28">
        <f>Table11462[Projected Cost]-Table11462[Actual Cost]</f>
        <v>0</v>
      </c>
      <c r="F16" s="29"/>
      <c r="G16" s="30" t="s">
        <v>14</v>
      </c>
      <c r="H16" s="31"/>
      <c r="I16" s="31"/>
      <c r="J16" s="32">
        <f>Table22573[Projected Cost]-Table22573[Actual Cost]</f>
        <v>0</v>
      </c>
    </row>
    <row r="17" spans="1:10" ht="15.75" customHeight="1">
      <c r="A17" s="49"/>
      <c r="B17" s="30" t="s">
        <v>8</v>
      </c>
      <c r="C17" s="31"/>
      <c r="D17" s="31"/>
      <c r="E17" s="32">
        <f>Table11462[Projected Cost]-Table11462[Actual Cost]</f>
        <v>0</v>
      </c>
      <c r="F17" s="29"/>
      <c r="G17" s="26" t="s">
        <v>21</v>
      </c>
      <c r="H17" s="27"/>
      <c r="I17" s="27"/>
      <c r="J17" s="28">
        <f>Table22573[Projected Cost]-Table22573[Actual Cost]</f>
        <v>0</v>
      </c>
    </row>
    <row r="18" spans="1:10" ht="15.75" customHeight="1">
      <c r="A18" s="49"/>
      <c r="B18" s="22" t="s">
        <v>35</v>
      </c>
      <c r="C18" s="31">
        <f>SUBTOTAL(109,Table11462[Projected Cost])</f>
        <v>1100</v>
      </c>
      <c r="D18" s="31">
        <f>SUBTOTAL(109,Table11462[Actual Cost])</f>
        <v>1210</v>
      </c>
      <c r="E18" s="33">
        <f>SUBTOTAL(109,Table11462[Difference])</f>
        <v>-110</v>
      </c>
      <c r="F18" s="29"/>
      <c r="G18" s="30" t="s">
        <v>42</v>
      </c>
      <c r="H18" s="31">
        <v>50</v>
      </c>
      <c r="I18" s="31">
        <v>75</v>
      </c>
      <c r="J18" s="32">
        <f>Table22573[Projected Cost]-Table22573[Actual Cost]</f>
        <v>-25</v>
      </c>
    </row>
    <row r="19" spans="1:10" ht="15.75" customHeight="1">
      <c r="A19" s="49"/>
      <c r="B19" s="56"/>
      <c r="C19" s="56"/>
      <c r="D19" s="56"/>
      <c r="E19" s="56"/>
      <c r="F19" s="29"/>
      <c r="G19" s="26" t="s">
        <v>47</v>
      </c>
      <c r="H19" s="27"/>
      <c r="I19" s="27"/>
      <c r="J19" s="28">
        <f>Table22573[Projected Cost]-Table22573[Actual Cost]</f>
        <v>0</v>
      </c>
    </row>
    <row r="20" spans="1:10" ht="15.75" customHeight="1">
      <c r="A20" s="49"/>
      <c r="B20" s="22" t="s">
        <v>27</v>
      </c>
      <c r="C20" s="23" t="s">
        <v>0</v>
      </c>
      <c r="D20" s="23" t="s">
        <v>1</v>
      </c>
      <c r="E20" s="24" t="s">
        <v>2</v>
      </c>
      <c r="F20" s="29"/>
      <c r="G20" s="30" t="s">
        <v>8</v>
      </c>
      <c r="H20" s="31"/>
      <c r="I20" s="31"/>
      <c r="J20" s="32">
        <f>Table22573[Projected Cost]-Table22573[Actual Cost]</f>
        <v>0</v>
      </c>
    </row>
    <row r="21" spans="1:10" ht="15.75" customHeight="1">
      <c r="A21" s="49"/>
      <c r="B21" s="26" t="s">
        <v>20</v>
      </c>
      <c r="C21" s="27">
        <v>250</v>
      </c>
      <c r="D21" s="27">
        <v>250</v>
      </c>
      <c r="E21" s="28">
        <f>Table32169[Projected Cost]-Table32169[Actual Cost]</f>
        <v>0</v>
      </c>
      <c r="F21" s="29"/>
      <c r="G21" s="26" t="s">
        <v>8</v>
      </c>
      <c r="H21" s="27"/>
      <c r="I21" s="27"/>
      <c r="J21" s="28">
        <f>Table22573[Projected Cost]-Table22573[Actual Cost]</f>
        <v>0</v>
      </c>
    </row>
    <row r="22" spans="1:10" ht="15.75" customHeight="1">
      <c r="A22" s="49"/>
      <c r="B22" s="30" t="s">
        <v>51</v>
      </c>
      <c r="C22" s="31"/>
      <c r="D22" s="31"/>
      <c r="E22" s="32">
        <f>Table32169[Projected Cost]-Table32169[Actual Cost]</f>
        <v>0</v>
      </c>
      <c r="F22" s="29"/>
      <c r="G22" s="22" t="s">
        <v>35</v>
      </c>
      <c r="H22" s="34">
        <f>SUBTOTAL(109,Table22573[Projected Cost])</f>
        <v>95</v>
      </c>
      <c r="I22" s="31">
        <f>SUBTOTAL(109,Table22573[Actual Cost])</f>
        <v>170</v>
      </c>
      <c r="J22" s="33">
        <f>SUBTOTAL(109,Table22573[Difference])</f>
        <v>-75</v>
      </c>
    </row>
    <row r="23" spans="1:10" ht="15.75" customHeight="1">
      <c r="A23" s="49"/>
      <c r="B23" s="26" t="s">
        <v>9</v>
      </c>
      <c r="C23" s="27"/>
      <c r="D23" s="27"/>
      <c r="E23" s="28">
        <f>Table32169[Projected Cost]-Table32169[Actual Cost]</f>
        <v>0</v>
      </c>
      <c r="F23" s="29"/>
      <c r="G23" s="67"/>
      <c r="H23" s="67"/>
      <c r="I23" s="67"/>
      <c r="J23" s="67"/>
    </row>
    <row r="24" spans="1:10" ht="15.75" customHeight="1">
      <c r="A24" s="49"/>
      <c r="B24" s="30" t="s">
        <v>5</v>
      </c>
      <c r="C24" s="31">
        <v>50</v>
      </c>
      <c r="D24" s="31">
        <v>60</v>
      </c>
      <c r="E24" s="32">
        <f>Table32169[Projected Cost]-Table32169[Actual Cost]</f>
        <v>-10</v>
      </c>
      <c r="F24" s="29"/>
      <c r="G24" s="22" t="s">
        <v>26</v>
      </c>
      <c r="H24" s="23" t="s">
        <v>0</v>
      </c>
      <c r="I24" s="23" t="s">
        <v>1</v>
      </c>
      <c r="J24" s="24" t="s">
        <v>2</v>
      </c>
    </row>
    <row r="25" spans="1:10" ht="15.75" customHeight="1">
      <c r="A25" s="49"/>
      <c r="B25" s="26" t="s">
        <v>10</v>
      </c>
      <c r="C25" s="27"/>
      <c r="D25" s="27"/>
      <c r="E25" s="28">
        <f>Table32169[Projected Cost]-Table32169[Actual Cost]</f>
        <v>0</v>
      </c>
      <c r="F25" s="29"/>
      <c r="G25" s="26" t="s">
        <v>43</v>
      </c>
      <c r="H25" s="27">
        <v>400</v>
      </c>
      <c r="I25" s="27">
        <v>400</v>
      </c>
      <c r="J25" s="28">
        <f>Table82270[Projected Cost]-Table82270[Actual Cost]</f>
        <v>0</v>
      </c>
    </row>
    <row r="26" spans="1:10" ht="15.75" customHeight="1">
      <c r="A26" s="49"/>
      <c r="B26" s="30" t="s">
        <v>8</v>
      </c>
      <c r="C26" s="31"/>
      <c r="D26" s="31"/>
      <c r="E26" s="32">
        <f>Table32169[Projected Cost]-Table32169[Actual Cost]</f>
        <v>0</v>
      </c>
      <c r="F26" s="29"/>
      <c r="G26" s="30" t="s">
        <v>44</v>
      </c>
      <c r="H26" s="31"/>
      <c r="I26" s="31"/>
      <c r="J26" s="32">
        <f>Table82270[Projected Cost]-Table82270[Actual Cost]</f>
        <v>0</v>
      </c>
    </row>
    <row r="27" spans="1:10" ht="15.75" customHeight="1">
      <c r="A27" s="49"/>
      <c r="B27" s="22" t="s">
        <v>35</v>
      </c>
      <c r="C27" s="31">
        <f>SUBTOTAL(109,Table32169[Projected Cost])</f>
        <v>300</v>
      </c>
      <c r="D27" s="31">
        <f>SUBTOTAL(109,Table32169[Actual Cost])</f>
        <v>310</v>
      </c>
      <c r="E27" s="33">
        <f>SUBTOTAL(109,Table32169[Difference])</f>
        <v>-10</v>
      </c>
      <c r="F27" s="29"/>
      <c r="G27" s="26" t="s">
        <v>22</v>
      </c>
      <c r="H27" s="27"/>
      <c r="I27" s="27"/>
      <c r="J27" s="28">
        <f>Table82270[Projected Cost]-Table82270[Actual Cost]</f>
        <v>0</v>
      </c>
    </row>
    <row r="28" spans="1:10" ht="15.75" customHeight="1">
      <c r="A28" s="49"/>
      <c r="B28" s="56"/>
      <c r="C28" s="56"/>
      <c r="D28" s="56"/>
      <c r="E28" s="56"/>
      <c r="F28" s="29"/>
      <c r="G28" s="30" t="s">
        <v>22</v>
      </c>
      <c r="H28" s="31"/>
      <c r="I28" s="31"/>
      <c r="J28" s="32">
        <f>Table82270[Projected Cost]-Table82270[Actual Cost]</f>
        <v>0</v>
      </c>
    </row>
    <row r="29" spans="1:10" ht="15.75" customHeight="1">
      <c r="A29" s="49"/>
      <c r="B29" s="22" t="s">
        <v>36</v>
      </c>
      <c r="C29" s="23" t="s">
        <v>0</v>
      </c>
      <c r="D29" s="23" t="s">
        <v>1</v>
      </c>
      <c r="E29" s="24" t="s">
        <v>2</v>
      </c>
      <c r="F29" s="29"/>
      <c r="G29" s="26" t="s">
        <v>22</v>
      </c>
      <c r="H29" s="27">
        <v>100</v>
      </c>
      <c r="I29" s="27">
        <v>100</v>
      </c>
      <c r="J29" s="28">
        <f>Table82270[Projected Cost]-Table82270[Actual Cost]</f>
        <v>0</v>
      </c>
    </row>
    <row r="30" spans="1:10" ht="15.75" customHeight="1">
      <c r="A30" s="49"/>
      <c r="B30" s="26" t="s">
        <v>5</v>
      </c>
      <c r="C30" s="27">
        <v>50</v>
      </c>
      <c r="D30" s="27">
        <v>50</v>
      </c>
      <c r="E30" s="28">
        <f>Table41563[Projected Cost]-Table41563[Actual Cost]</f>
        <v>0</v>
      </c>
      <c r="F30" s="29"/>
      <c r="G30" s="30" t="s">
        <v>8</v>
      </c>
      <c r="H30" s="31"/>
      <c r="I30" s="31"/>
      <c r="J30" s="32">
        <f>Table82270[Projected Cost]-Table82270[Actual Cost]</f>
        <v>0</v>
      </c>
    </row>
    <row r="31" spans="1:10" ht="15.75" customHeight="1">
      <c r="A31" s="49"/>
      <c r="B31" s="30" t="s">
        <v>38</v>
      </c>
      <c r="C31" s="31">
        <v>100</v>
      </c>
      <c r="D31" s="31">
        <v>110</v>
      </c>
      <c r="E31" s="32">
        <f>Table41563[Projected Cost]-Table41563[Actual Cost]</f>
        <v>-10</v>
      </c>
      <c r="F31" s="29"/>
      <c r="G31" s="22" t="s">
        <v>35</v>
      </c>
      <c r="H31" s="31">
        <f>SUBTOTAL(109,Table82270[Projected Cost])</f>
        <v>500</v>
      </c>
      <c r="I31" s="31">
        <f>SUBTOTAL(109,Table82270[Actual Cost])</f>
        <v>500</v>
      </c>
      <c r="J31" s="33">
        <f>SUBTOTAL(109,Table82270[Difference])</f>
        <v>0</v>
      </c>
    </row>
    <row r="32" spans="1:10" ht="15.75" customHeight="1">
      <c r="A32" s="49"/>
      <c r="B32" s="26" t="s">
        <v>39</v>
      </c>
      <c r="C32" s="27"/>
      <c r="D32" s="27"/>
      <c r="E32" s="28">
        <f>Table41563[Projected Cost]-Table41563[Actual Cost]</f>
        <v>0</v>
      </c>
      <c r="F32" s="29"/>
      <c r="G32" s="56"/>
      <c r="H32" s="56"/>
      <c r="I32" s="56"/>
      <c r="J32" s="56"/>
    </row>
    <row r="33" spans="1:10" ht="15.75" customHeight="1">
      <c r="A33" s="49"/>
      <c r="B33" s="30" t="s">
        <v>19</v>
      </c>
      <c r="C33" s="31"/>
      <c r="D33" s="31"/>
      <c r="E33" s="32">
        <f>Table41563[Projected Cost]-Table41563[Actual Cost]</f>
        <v>0</v>
      </c>
      <c r="F33" s="29"/>
      <c r="G33" s="22" t="s">
        <v>28</v>
      </c>
      <c r="H33" s="23" t="s">
        <v>0</v>
      </c>
      <c r="I33" s="23" t="s">
        <v>1</v>
      </c>
      <c r="J33" s="24" t="s">
        <v>2</v>
      </c>
    </row>
    <row r="34" spans="1:10" ht="15.75" customHeight="1">
      <c r="A34" s="49"/>
      <c r="B34" s="22" t="s">
        <v>35</v>
      </c>
      <c r="C34" s="31">
        <f>SUBTOTAL(109,Table41563[Projected Cost])</f>
        <v>150</v>
      </c>
      <c r="D34" s="31">
        <f>SUBTOTAL(109,Table41563[Actual Cost])</f>
        <v>160</v>
      </c>
      <c r="E34" s="33">
        <f>SUBTOTAL(109,Table41563[Difference])</f>
        <v>-10</v>
      </c>
      <c r="F34" s="29"/>
      <c r="G34" s="26" t="s">
        <v>15</v>
      </c>
      <c r="H34" s="27">
        <v>25</v>
      </c>
      <c r="I34" s="27">
        <v>25</v>
      </c>
      <c r="J34" s="28">
        <f>Table92068[Projected Cost]-Table92068[Actual Cost]</f>
        <v>0</v>
      </c>
    </row>
    <row r="35" spans="1:10" ht="15.75" customHeight="1">
      <c r="A35" s="49"/>
      <c r="B35" s="56"/>
      <c r="C35" s="56"/>
      <c r="D35" s="56"/>
      <c r="E35" s="56"/>
      <c r="F35" s="29"/>
      <c r="G35" s="30" t="s">
        <v>16</v>
      </c>
      <c r="H35" s="31"/>
      <c r="I35" s="31"/>
      <c r="J35" s="32">
        <f>Table92068[Projected Cost]-Table92068[Actual Cost]</f>
        <v>0</v>
      </c>
    </row>
    <row r="36" spans="1:10" ht="15.75" customHeight="1">
      <c r="A36" s="49"/>
      <c r="B36" s="22" t="s">
        <v>29</v>
      </c>
      <c r="C36" s="23" t="s">
        <v>0</v>
      </c>
      <c r="D36" s="23" t="s">
        <v>1</v>
      </c>
      <c r="E36" s="24" t="s">
        <v>2</v>
      </c>
      <c r="F36" s="29"/>
      <c r="G36" s="26" t="s">
        <v>17</v>
      </c>
      <c r="H36" s="27"/>
      <c r="I36" s="27"/>
      <c r="J36" s="28">
        <f>Table92068[Projected Cost]-Table92068[Actual Cost]</f>
        <v>0</v>
      </c>
    </row>
    <row r="37" spans="1:10" ht="15.75" customHeight="1">
      <c r="A37" s="49"/>
      <c r="B37" s="26" t="s">
        <v>11</v>
      </c>
      <c r="C37" s="27">
        <v>500</v>
      </c>
      <c r="D37" s="27">
        <v>400</v>
      </c>
      <c r="E37" s="28">
        <f>Table51967[Projected Cost]-Table51967[Actual Cost]</f>
        <v>100</v>
      </c>
      <c r="F37" s="29"/>
      <c r="G37" s="30" t="s">
        <v>8</v>
      </c>
      <c r="H37" s="31"/>
      <c r="I37" s="31"/>
      <c r="J37" s="32">
        <f>Table92068[Projected Cost]-Table92068[Actual Cost]</f>
        <v>0</v>
      </c>
    </row>
    <row r="38" spans="1:10" ht="15.75" customHeight="1">
      <c r="A38" s="49"/>
      <c r="B38" s="30" t="s">
        <v>8</v>
      </c>
      <c r="C38" s="31"/>
      <c r="D38" s="31"/>
      <c r="E38" s="32">
        <f>Table51967[Projected Cost]-Table51967[Actual Cost]</f>
        <v>0</v>
      </c>
      <c r="F38" s="29"/>
      <c r="G38" s="22" t="s">
        <v>35</v>
      </c>
      <c r="H38" s="31">
        <f>SUBTOTAL(109,Table92068[Projected Cost])</f>
        <v>25</v>
      </c>
      <c r="I38" s="31">
        <f>SUBTOTAL(109,Table92068[Actual Cost])</f>
        <v>25</v>
      </c>
      <c r="J38" s="33">
        <f>SUBTOTAL(109,Table92068[Difference])</f>
        <v>0</v>
      </c>
    </row>
    <row r="39" spans="1:10" ht="15.75" customHeight="1">
      <c r="A39" s="49"/>
      <c r="B39" s="22" t="s">
        <v>35</v>
      </c>
      <c r="C39" s="31">
        <f>SUBTOTAL(109,Table51967[Projected Cost])</f>
        <v>500</v>
      </c>
      <c r="D39" s="31">
        <f>SUBTOTAL(109,Table51967[Actual Cost])</f>
        <v>400</v>
      </c>
      <c r="E39" s="33">
        <f>SUBTOTAL(109,Table51967[Difference])</f>
        <v>100</v>
      </c>
      <c r="F39" s="29"/>
      <c r="G39" s="56"/>
      <c r="H39" s="56"/>
      <c r="I39" s="56"/>
      <c r="J39" s="56"/>
    </row>
    <row r="40" spans="1:10" ht="15.75" customHeight="1">
      <c r="A40" s="49"/>
      <c r="B40" s="56"/>
      <c r="C40" s="56"/>
      <c r="D40" s="56"/>
      <c r="E40" s="56"/>
      <c r="F40" s="29"/>
      <c r="G40" s="22" t="s">
        <v>30</v>
      </c>
      <c r="H40" s="23" t="s">
        <v>0</v>
      </c>
      <c r="I40" s="23" t="s">
        <v>1</v>
      </c>
      <c r="J40" s="24" t="s">
        <v>2</v>
      </c>
    </row>
    <row r="41" spans="1:10" ht="15.75" customHeight="1">
      <c r="A41" s="49"/>
      <c r="B41" s="22" t="s">
        <v>48</v>
      </c>
      <c r="C41" s="23" t="s">
        <v>0</v>
      </c>
      <c r="D41" s="23" t="s">
        <v>1</v>
      </c>
      <c r="E41" s="24" t="s">
        <v>2</v>
      </c>
      <c r="F41" s="29"/>
      <c r="G41" s="26" t="s">
        <v>23</v>
      </c>
      <c r="H41" s="27"/>
      <c r="I41" s="27"/>
      <c r="J41" s="28">
        <f>Table102371[Projected Cost]-Table102371[Actual Cost]</f>
        <v>0</v>
      </c>
    </row>
    <row r="42" spans="1:10" ht="15.75" customHeight="1">
      <c r="A42" s="49"/>
      <c r="B42" s="26" t="s">
        <v>45</v>
      </c>
      <c r="C42" s="27">
        <v>50</v>
      </c>
      <c r="D42" s="27">
        <v>50</v>
      </c>
      <c r="E42" s="28">
        <f>Table61765[Projected Cost]-Table61765[Actual Cost]</f>
        <v>0</v>
      </c>
      <c r="F42" s="29"/>
      <c r="G42" s="30" t="s">
        <v>24</v>
      </c>
      <c r="H42" s="31"/>
      <c r="I42" s="31"/>
      <c r="J42" s="32">
        <f>Table102371[Projected Cost]-Table102371[Actual Cost]</f>
        <v>0</v>
      </c>
    </row>
    <row r="43" spans="1:10" ht="15.75" customHeight="1">
      <c r="A43" s="49"/>
      <c r="B43" s="30" t="s">
        <v>46</v>
      </c>
      <c r="C43" s="31"/>
      <c r="D43" s="31"/>
      <c r="E43" s="32">
        <f>Table61765[Projected Cost]-Table61765[Actual Cost]</f>
        <v>0</v>
      </c>
      <c r="F43" s="29"/>
      <c r="G43" s="26" t="s">
        <v>63</v>
      </c>
      <c r="H43" s="27">
        <v>1000</v>
      </c>
      <c r="I43" s="27">
        <v>250</v>
      </c>
      <c r="J43" s="28">
        <f>Table102371[Projected Cost]-Table102371[Actual Cost]</f>
        <v>750</v>
      </c>
    </row>
    <row r="44" spans="1:10" ht="15.75" customHeight="1">
      <c r="A44" s="49"/>
      <c r="B44" s="26" t="s">
        <v>49</v>
      </c>
      <c r="C44" s="27">
        <v>25</v>
      </c>
      <c r="D44" s="27">
        <v>0</v>
      </c>
      <c r="E44" s="28">
        <f>Table61765[Projected Cost]-Table61765[Actual Cost]</f>
        <v>25</v>
      </c>
      <c r="F44" s="29"/>
      <c r="G44" s="22" t="s">
        <v>35</v>
      </c>
      <c r="H44" s="31">
        <f>SUBTOTAL(109,Table102371[Projected Cost])</f>
        <v>1000</v>
      </c>
      <c r="I44" s="31">
        <f>SUBTOTAL(109,Table102371[Actual Cost])</f>
        <v>250</v>
      </c>
      <c r="J44" s="33">
        <f>SUBTOTAL(109,Table102371[Difference])</f>
        <v>750</v>
      </c>
    </row>
    <row r="45" spans="1:10" ht="15.75" customHeight="1">
      <c r="A45" s="49"/>
      <c r="B45" s="30" t="s">
        <v>50</v>
      </c>
      <c r="C45" s="31">
        <v>50</v>
      </c>
      <c r="D45" s="31">
        <v>100</v>
      </c>
      <c r="E45" s="32">
        <f>Table61765[Projected Cost]-Table61765[Actual Cost]</f>
        <v>-50</v>
      </c>
      <c r="F45" s="29"/>
      <c r="G45" s="56"/>
      <c r="H45" s="56"/>
      <c r="I45" s="56"/>
      <c r="J45" s="56"/>
    </row>
    <row r="46" spans="1:10" ht="15.75" customHeight="1">
      <c r="A46" s="49"/>
      <c r="B46" s="26" t="s">
        <v>8</v>
      </c>
      <c r="C46" s="27"/>
      <c r="D46" s="27"/>
      <c r="E46" s="28">
        <f>Table61765[Projected Cost]-Table61765[Actual Cost]</f>
        <v>0</v>
      </c>
      <c r="F46" s="29"/>
      <c r="G46" s="22" t="s">
        <v>53</v>
      </c>
      <c r="H46" s="23" t="s">
        <v>0</v>
      </c>
      <c r="I46" s="23" t="s">
        <v>1</v>
      </c>
      <c r="J46" s="24" t="s">
        <v>2</v>
      </c>
    </row>
    <row r="47" spans="1:10" ht="15.75" customHeight="1">
      <c r="A47" s="49"/>
      <c r="B47" s="22" t="s">
        <v>35</v>
      </c>
      <c r="C47" s="31">
        <f>SUBTOTAL(109,Table61765[Projected Cost])</f>
        <v>125</v>
      </c>
      <c r="D47" s="31">
        <f>SUBTOTAL(109,Table61765[Actual Cost])</f>
        <v>150</v>
      </c>
      <c r="E47" s="33">
        <f>SUBTOTAL(109,Table61765[Difference])</f>
        <v>-25</v>
      </c>
      <c r="F47" s="29"/>
      <c r="G47" s="26" t="s">
        <v>9</v>
      </c>
      <c r="H47" s="27"/>
      <c r="I47" s="27"/>
      <c r="J47" s="28">
        <f>Table111866[Projected Cost]-Table111866[Actual Cost]</f>
        <v>0</v>
      </c>
    </row>
    <row r="48" spans="1:10" ht="15.75" customHeight="1">
      <c r="A48" s="49"/>
      <c r="B48" s="56"/>
      <c r="C48" s="56"/>
      <c r="D48" s="56"/>
      <c r="E48" s="56"/>
      <c r="F48" s="29"/>
      <c r="G48" s="30" t="s">
        <v>57</v>
      </c>
      <c r="H48" s="31"/>
      <c r="I48" s="31"/>
      <c r="J48" s="32">
        <f>Table111866[Projected Cost]-Table111866[Actual Cost]</f>
        <v>0</v>
      </c>
    </row>
    <row r="49" spans="1:10" ht="15.75" customHeight="1">
      <c r="A49" s="49"/>
      <c r="B49" s="22" t="s">
        <v>31</v>
      </c>
      <c r="C49" s="23" t="s">
        <v>0</v>
      </c>
      <c r="D49" s="23" t="s">
        <v>1</v>
      </c>
      <c r="E49" s="24" t="s">
        <v>2</v>
      </c>
      <c r="F49" s="29"/>
      <c r="G49" s="26" t="s">
        <v>58</v>
      </c>
      <c r="H49" s="27">
        <v>75</v>
      </c>
      <c r="I49" s="27">
        <v>50</v>
      </c>
      <c r="J49" s="28">
        <f>Table111866[Projected Cost]-Table111866[Actual Cost]</f>
        <v>25</v>
      </c>
    </row>
    <row r="50" spans="1:10" ht="15.75" customHeight="1">
      <c r="A50" s="49"/>
      <c r="B50" s="26" t="s">
        <v>55</v>
      </c>
      <c r="C50" s="27">
        <v>15</v>
      </c>
      <c r="D50" s="27">
        <v>25</v>
      </c>
      <c r="E50" s="28">
        <f>Table72472[Projected Cost]-Table72472[Actual Cost]</f>
        <v>-10</v>
      </c>
      <c r="F50" s="29"/>
      <c r="G50" s="22" t="s">
        <v>35</v>
      </c>
      <c r="H50" s="31">
        <f>SUBTOTAL(109,Table111866[Projected Cost])</f>
        <v>75</v>
      </c>
      <c r="I50" s="31">
        <f>SUBTOTAL(109,Table111866[Actual Cost])</f>
        <v>50</v>
      </c>
      <c r="J50" s="33">
        <f>SUBTOTAL(109,Table111866[Difference])</f>
        <v>25</v>
      </c>
    </row>
    <row r="51" spans="1:10" ht="15.75" customHeight="1">
      <c r="A51" s="49"/>
      <c r="B51" s="30" t="s">
        <v>56</v>
      </c>
      <c r="C51" s="31">
        <v>10</v>
      </c>
      <c r="D51" s="31">
        <v>20</v>
      </c>
      <c r="E51" s="32">
        <f>Table72472[Projected Cost]-Table72472[Actual Cost]</f>
        <v>-10</v>
      </c>
      <c r="F51" s="29"/>
      <c r="G51" s="56"/>
      <c r="H51" s="56"/>
      <c r="I51" s="56"/>
      <c r="J51" s="56"/>
    </row>
    <row r="52" spans="1:10" ht="15.75" customHeight="1">
      <c r="A52" s="49"/>
      <c r="B52" s="26" t="s">
        <v>12</v>
      </c>
      <c r="C52" s="27"/>
      <c r="D52" s="27"/>
      <c r="E52" s="28">
        <f>Table72472[Projected Cost]-Table72472[Actual Cost]</f>
        <v>0</v>
      </c>
      <c r="F52" s="29"/>
      <c r="G52" s="22" t="s">
        <v>59</v>
      </c>
      <c r="H52" s="23" t="s">
        <v>0</v>
      </c>
      <c r="I52" s="23" t="s">
        <v>1</v>
      </c>
      <c r="J52" s="24" t="s">
        <v>2</v>
      </c>
    </row>
    <row r="53" spans="1:10" ht="15.75" customHeight="1">
      <c r="A53" s="49"/>
      <c r="B53" s="30" t="s">
        <v>54</v>
      </c>
      <c r="C53" s="31">
        <v>25</v>
      </c>
      <c r="D53" s="31">
        <v>15</v>
      </c>
      <c r="E53" s="32">
        <f>Table72472[Projected Cost]-Table72472[Actual Cost]</f>
        <v>10</v>
      </c>
      <c r="F53" s="29"/>
      <c r="G53" s="26" t="s">
        <v>60</v>
      </c>
      <c r="H53" s="27">
        <v>50</v>
      </c>
      <c r="I53" s="27">
        <v>50</v>
      </c>
      <c r="J53" s="28">
        <f>Table121664[Projected Cost]-Table121664[Actual Cost]</f>
        <v>0</v>
      </c>
    </row>
    <row r="54" spans="1:10" ht="15.75" customHeight="1">
      <c r="A54" s="49"/>
      <c r="B54" s="26" t="s">
        <v>52</v>
      </c>
      <c r="C54" s="27">
        <v>30</v>
      </c>
      <c r="D54" s="27">
        <v>29</v>
      </c>
      <c r="E54" s="28">
        <f>Table72472[Projected Cost]-Table72472[Actual Cost]</f>
        <v>1</v>
      </c>
      <c r="F54" s="29"/>
      <c r="G54" s="30" t="s">
        <v>61</v>
      </c>
      <c r="H54" s="31"/>
      <c r="I54" s="31"/>
      <c r="J54" s="32">
        <f>Table121664[Projected Cost]-Table121664[Actual Cost]</f>
        <v>0</v>
      </c>
    </row>
    <row r="55" spans="1:10" ht="15.75" customHeight="1">
      <c r="A55" s="49"/>
      <c r="B55" s="30" t="s">
        <v>8</v>
      </c>
      <c r="C55" s="31"/>
      <c r="D55" s="31"/>
      <c r="E55" s="32">
        <f>Table72472[Projected Cost]-Table72472[Actual Cost]</f>
        <v>0</v>
      </c>
      <c r="F55" s="29"/>
      <c r="G55" s="26" t="s">
        <v>62</v>
      </c>
      <c r="H55" s="27"/>
      <c r="I55" s="27"/>
      <c r="J55" s="28">
        <f>Table121664[Projected Cost]-Table121664[Actual Cost]</f>
        <v>0</v>
      </c>
    </row>
    <row r="56" spans="1:10" ht="15.75" customHeight="1">
      <c r="A56" s="49"/>
      <c r="B56" s="26" t="s">
        <v>8</v>
      </c>
      <c r="C56" s="27"/>
      <c r="D56" s="27"/>
      <c r="E56" s="28">
        <f>Table72472[Projected Cost]-Table72472[Actual Cost]</f>
        <v>0</v>
      </c>
      <c r="F56" s="29"/>
      <c r="G56" s="30" t="s">
        <v>8</v>
      </c>
      <c r="H56" s="31"/>
      <c r="I56" s="31"/>
      <c r="J56" s="32">
        <f>Table121664[Projected Cost]-Table121664[Actual Cost]</f>
        <v>0</v>
      </c>
    </row>
    <row r="57" spans="1:10" ht="15.75" customHeight="1">
      <c r="A57" s="49"/>
      <c r="B57" s="22" t="s">
        <v>35</v>
      </c>
      <c r="C57" s="31">
        <f>SUBTOTAL(109,Table72472[Projected Cost])</f>
        <v>80</v>
      </c>
      <c r="D57" s="31">
        <f>SUBTOTAL(109,Table72472[Actual Cost])</f>
        <v>89</v>
      </c>
      <c r="E57" s="33">
        <f>SUBTOTAL(109,Table72472[Difference])</f>
        <v>-9</v>
      </c>
      <c r="F57" s="29"/>
      <c r="G57" s="22" t="s">
        <v>35</v>
      </c>
      <c r="H57" s="31">
        <f>SUBTOTAL(109,Table121664[Projected Cost])</f>
        <v>50</v>
      </c>
      <c r="I57" s="31">
        <f>SUBTOTAL(109,Table121664[Actual Cost])</f>
        <v>50</v>
      </c>
      <c r="J57" s="33">
        <f>SUBTOTAL(109,Table121664[Difference])</f>
        <v>0</v>
      </c>
    </row>
    <row r="58" spans="1:10" ht="15.75" customHeight="1">
      <c r="A58" s="49"/>
      <c r="F58" s="29"/>
      <c r="G58" s="57"/>
      <c r="H58" s="57"/>
      <c r="I58" s="57"/>
      <c r="J58" s="57"/>
    </row>
    <row r="59" spans="1:10" ht="29.25" customHeight="1">
      <c r="A59" s="49"/>
      <c r="F59" s="36"/>
      <c r="G59" s="37" t="s">
        <v>33</v>
      </c>
      <c r="H59" s="38"/>
      <c r="I59" s="39"/>
      <c r="J59" s="40">
        <f>SUM(C18,C27,C34,C39,C47,C57,H22,H31,H38,H44,H50,H57)</f>
        <v>4000</v>
      </c>
    </row>
    <row r="60" spans="1:10" ht="27.75" customHeight="1">
      <c r="A60" s="49"/>
      <c r="F60" s="36"/>
      <c r="G60" s="37" t="s">
        <v>74</v>
      </c>
      <c r="H60" s="38"/>
      <c r="I60" s="39"/>
      <c r="J60" s="40">
        <f>SUM(D18,D27,D34,D39,D47,D57,I22,I31,I38,I44,I50,I57)</f>
        <v>3364</v>
      </c>
    </row>
    <row r="61" spans="1:10" ht="27.75" customHeight="1">
      <c r="A61" s="49"/>
      <c r="F61" s="36"/>
      <c r="G61" s="37" t="s">
        <v>34</v>
      </c>
      <c r="H61" s="38"/>
      <c r="I61" s="39"/>
      <c r="J61" s="40">
        <f>SUM(E18,E27,E34,E39,E47,E57,J22,J31,J38,J44,J50,J57)</f>
        <v>636</v>
      </c>
    </row>
    <row r="62" spans="1:10" ht="15.75" customHeight="1">
      <c r="A62" s="49"/>
      <c r="F62" s="36"/>
    </row>
    <row r="63" spans="1:10" ht="15.75" customHeight="1">
      <c r="G63" s="41" t="s">
        <v>65</v>
      </c>
      <c r="H63" s="42"/>
    </row>
    <row r="64" spans="1:10">
      <c r="G64" s="43" t="str">
        <f>Table11462[[#Headers],[HOME]]</f>
        <v>HOME</v>
      </c>
      <c r="H64" s="44">
        <f>Table11462[[#Totals],[Actual Cost]]</f>
        <v>1210</v>
      </c>
    </row>
    <row r="65" spans="7:8">
      <c r="G65" s="45" t="str">
        <f>Table32169[[#Headers],[TRANSPORTATION]]</f>
        <v>TRANSPORTATION</v>
      </c>
      <c r="H65" s="46">
        <f>Table32169[[#Totals],[Actual Cost]]</f>
        <v>310</v>
      </c>
    </row>
    <row r="66" spans="7:8">
      <c r="G66" s="41" t="str">
        <f>Table41563[[#Headers],[UTILITIES]]</f>
        <v>UTILITIES</v>
      </c>
      <c r="H66" s="42">
        <f>Table41563[[#Totals],[Actual Cost]]</f>
        <v>160</v>
      </c>
    </row>
    <row r="67" spans="7:8">
      <c r="G67" s="43" t="str">
        <f>Table51967[[#Headers],[FOOD]]</f>
        <v>FOOD</v>
      </c>
      <c r="H67" s="44">
        <f>Table51967[[#Totals],[Actual Cost]]</f>
        <v>400</v>
      </c>
    </row>
    <row r="68" spans="7:8">
      <c r="G68" s="45" t="str">
        <f>Table61765[[#Headers],[CONNECTIONS]]</f>
        <v>CONNECTIONS</v>
      </c>
      <c r="H68" s="46">
        <f>Table61765[[#Totals],[Actual Cost]]</f>
        <v>150</v>
      </c>
    </row>
    <row r="69" spans="7:8">
      <c r="G69" s="41" t="str">
        <f>Table72472[[#Headers],[PERSONAL CARE]]</f>
        <v>PERSONAL CARE</v>
      </c>
      <c r="H69" s="42">
        <f>Table72472[[#Totals],[Actual Cost]]</f>
        <v>89</v>
      </c>
    </row>
    <row r="70" spans="7:8">
      <c r="G70" s="43" t="str">
        <f>Table22573[[#Headers],[ENTERTAINMENT]]</f>
        <v>ENTERTAINMENT</v>
      </c>
      <c r="H70" s="44">
        <f>Table22573[[#Totals],[Actual Cost]]</f>
        <v>170</v>
      </c>
    </row>
    <row r="71" spans="7:8">
      <c r="G71" s="45" t="str">
        <f>Table82270[[#Headers],[LOANS]]</f>
        <v>LOANS</v>
      </c>
      <c r="H71" s="46">
        <f>Table82270[[#Totals],[Actual Cost]]</f>
        <v>500</v>
      </c>
    </row>
    <row r="72" spans="7:8">
      <c r="G72" s="41" t="str">
        <f>Table92068[[#Headers],[TAXES]]</f>
        <v>TAXES</v>
      </c>
      <c r="H72" s="42">
        <f>Table92068[[#Totals],[Actual Cost]]</f>
        <v>25</v>
      </c>
    </row>
    <row r="73" spans="7:8">
      <c r="G73" s="43" t="str">
        <f>Table102371[[#Headers],[SAVINGS OR INVESTMENTS]]</f>
        <v>SAVINGS OR INVESTMENTS</v>
      </c>
      <c r="H73" s="44">
        <f>Table102371[[#Totals],[Actual Cost]]</f>
        <v>250</v>
      </c>
    </row>
    <row r="74" spans="7:8">
      <c r="G74" s="45" t="str">
        <f>Table111866[[#Headers],[MEDICAL]]</f>
        <v>MEDICAL</v>
      </c>
      <c r="H74" s="46">
        <f>Table111866[[#Totals],[Actual Cost]]</f>
        <v>50</v>
      </c>
    </row>
    <row r="75" spans="7:8">
      <c r="G75" s="41" t="str">
        <f>Table121664[[#Headers],[MISC]]</f>
        <v>MISC</v>
      </c>
      <c r="H75" s="42">
        <f>Table121664[[#Totals],[Actual Cost]]</f>
        <v>50</v>
      </c>
    </row>
    <row r="76" spans="7:8">
      <c r="G76" s="43" t="s">
        <v>35</v>
      </c>
      <c r="H76" s="44">
        <f>SUM(H64:H75)</f>
        <v>3364</v>
      </c>
    </row>
  </sheetData>
  <mergeCells count="27">
    <mergeCell ref="B2:J2"/>
    <mergeCell ref="B3:D3"/>
    <mergeCell ref="B4:B7"/>
    <mergeCell ref="C4:D4"/>
    <mergeCell ref="G4:I6"/>
    <mergeCell ref="J4:J6"/>
    <mergeCell ref="C6:D6"/>
    <mergeCell ref="C7:D7"/>
    <mergeCell ref="G7:I8"/>
    <mergeCell ref="J7:J8"/>
    <mergeCell ref="G39:J39"/>
    <mergeCell ref="B8:B11"/>
    <mergeCell ref="C8:D8"/>
    <mergeCell ref="G9:I10"/>
    <mergeCell ref="J9:J10"/>
    <mergeCell ref="C10:D10"/>
    <mergeCell ref="C11:D11"/>
    <mergeCell ref="B19:E19"/>
    <mergeCell ref="G23:J23"/>
    <mergeCell ref="B28:E28"/>
    <mergeCell ref="G32:J32"/>
    <mergeCell ref="B35:E35"/>
    <mergeCell ref="B40:E40"/>
    <mergeCell ref="G45:J45"/>
    <mergeCell ref="B48:E48"/>
    <mergeCell ref="G51:J51"/>
    <mergeCell ref="G58:J58"/>
  </mergeCells>
  <conditionalFormatting sqref="J13:J22 E42:E47 E30:E34 E14:E18 E21:E27 E37:E39 E50:E57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76"/>
  <sheetViews>
    <sheetView showGridLines="0" workbookViewId="0">
      <selection sqref="A1:XFD1048576"/>
    </sheetView>
  </sheetViews>
  <sheetFormatPr baseColWidth="10" defaultColWidth="8.83203125" defaultRowHeight="13" x14ac:dyDescent="0"/>
  <cols>
    <col min="1" max="1" width="1.6640625" style="35" customWidth="1"/>
    <col min="2" max="2" width="28.33203125" style="35" bestFit="1" customWidth="1"/>
    <col min="3" max="3" width="17.1640625" style="35" bestFit="1" customWidth="1"/>
    <col min="4" max="4" width="14" style="35" bestFit="1" customWidth="1"/>
    <col min="5" max="5" width="12.83203125" style="35" bestFit="1" customWidth="1"/>
    <col min="6" max="6" width="2.83203125" style="35" customWidth="1"/>
    <col min="7" max="7" width="28.83203125" style="35" bestFit="1" customWidth="1"/>
    <col min="8" max="8" width="17.1640625" style="35" bestFit="1" customWidth="1"/>
    <col min="9" max="9" width="14" style="35" bestFit="1" customWidth="1"/>
    <col min="10" max="10" width="12.83203125" style="35" bestFit="1" customWidth="1"/>
    <col min="11" max="16384" width="8.83203125" style="35"/>
  </cols>
  <sheetData>
    <row r="1" spans="1:10" ht="8" customHeight="1">
      <c r="A1" s="47"/>
      <c r="B1" s="48"/>
      <c r="C1" s="48"/>
      <c r="D1" s="48"/>
      <c r="E1" s="48"/>
      <c r="F1" s="48"/>
      <c r="G1" s="48"/>
      <c r="H1" s="48"/>
      <c r="I1" s="48"/>
      <c r="J1" s="49"/>
    </row>
    <row r="2" spans="1:10" ht="52" customHeight="1">
      <c r="A2" s="47"/>
      <c r="B2" s="68" t="s">
        <v>83</v>
      </c>
      <c r="C2" s="68"/>
      <c r="D2" s="68"/>
      <c r="E2" s="68"/>
      <c r="F2" s="68"/>
      <c r="G2" s="68"/>
      <c r="H2" s="68"/>
      <c r="I2" s="68"/>
      <c r="J2" s="68"/>
    </row>
    <row r="3" spans="1:10" ht="8" customHeight="1">
      <c r="A3" s="49"/>
      <c r="B3" s="69"/>
      <c r="C3" s="69"/>
      <c r="D3" s="69"/>
      <c r="E3" s="50"/>
      <c r="F3" s="13"/>
      <c r="G3" s="50"/>
      <c r="H3" s="51"/>
      <c r="I3" s="52"/>
      <c r="J3" s="53"/>
    </row>
    <row r="4" spans="1:10" ht="16" customHeight="1">
      <c r="A4" s="49"/>
      <c r="B4" s="63" t="s">
        <v>66</v>
      </c>
      <c r="C4" s="54" t="s">
        <v>3</v>
      </c>
      <c r="D4" s="55"/>
      <c r="E4" s="12">
        <v>2000</v>
      </c>
      <c r="F4" s="13"/>
      <c r="G4" s="59" t="s">
        <v>99</v>
      </c>
      <c r="H4" s="59"/>
      <c r="I4" s="59"/>
      <c r="J4" s="60">
        <f>E7-J59</f>
        <v>-750</v>
      </c>
    </row>
    <row r="5" spans="1:10" ht="16" customHeight="1">
      <c r="A5" s="49"/>
      <c r="B5" s="64"/>
      <c r="C5" s="14" t="s">
        <v>67</v>
      </c>
      <c r="D5" s="15"/>
      <c r="E5" s="12">
        <v>1000</v>
      </c>
      <c r="F5" s="13"/>
      <c r="G5" s="59"/>
      <c r="H5" s="59"/>
      <c r="I5" s="59"/>
      <c r="J5" s="60"/>
    </row>
    <row r="6" spans="1:10" ht="16" customHeight="1">
      <c r="A6" s="49"/>
      <c r="B6" s="64"/>
      <c r="C6" s="54" t="s">
        <v>64</v>
      </c>
      <c r="D6" s="55"/>
      <c r="E6" s="12">
        <v>250</v>
      </c>
      <c r="F6" s="13"/>
      <c r="G6" s="59"/>
      <c r="H6" s="59"/>
      <c r="I6" s="59"/>
      <c r="J6" s="60"/>
    </row>
    <row r="7" spans="1:10" ht="16" customHeight="1">
      <c r="A7" s="49"/>
      <c r="B7" s="65"/>
      <c r="C7" s="61" t="s">
        <v>18</v>
      </c>
      <c r="D7" s="62"/>
      <c r="E7" s="16">
        <f>SUM(E4:E6)</f>
        <v>3250</v>
      </c>
      <c r="F7" s="13"/>
      <c r="G7" s="59" t="s">
        <v>100</v>
      </c>
      <c r="H7" s="59"/>
      <c r="I7" s="59"/>
      <c r="J7" s="60">
        <f>E11-J60</f>
        <v>636</v>
      </c>
    </row>
    <row r="8" spans="1:10" ht="16" customHeight="1">
      <c r="A8" s="49"/>
      <c r="B8" s="63" t="s">
        <v>32</v>
      </c>
      <c r="C8" s="54" t="s">
        <v>3</v>
      </c>
      <c r="D8" s="55"/>
      <c r="E8" s="12">
        <v>2500</v>
      </c>
      <c r="F8" s="13"/>
      <c r="G8" s="59"/>
      <c r="H8" s="59"/>
      <c r="I8" s="59"/>
      <c r="J8" s="60"/>
    </row>
    <row r="9" spans="1:10" ht="16" customHeight="1">
      <c r="A9" s="49"/>
      <c r="B9" s="64"/>
      <c r="C9" s="14" t="s">
        <v>67</v>
      </c>
      <c r="D9" s="15"/>
      <c r="E9" s="12">
        <v>1000</v>
      </c>
      <c r="F9" s="13"/>
      <c r="G9" s="59" t="s">
        <v>101</v>
      </c>
      <c r="H9" s="59"/>
      <c r="I9" s="59"/>
      <c r="J9" s="60">
        <f>J7-J4</f>
        <v>1386</v>
      </c>
    </row>
    <row r="10" spans="1:10" ht="16" customHeight="1">
      <c r="A10" s="49"/>
      <c r="B10" s="64"/>
      <c r="C10" s="54" t="s">
        <v>64</v>
      </c>
      <c r="D10" s="55"/>
      <c r="E10" s="12">
        <v>500</v>
      </c>
      <c r="F10" s="13"/>
      <c r="G10" s="59"/>
      <c r="H10" s="59"/>
      <c r="I10" s="59"/>
      <c r="J10" s="60"/>
    </row>
    <row r="11" spans="1:10" ht="16" customHeight="1">
      <c r="A11" s="49"/>
      <c r="B11" s="65"/>
      <c r="C11" s="61" t="s">
        <v>18</v>
      </c>
      <c r="D11" s="62"/>
      <c r="E11" s="16">
        <f>SUM(E8:E10)</f>
        <v>4000</v>
      </c>
      <c r="F11" s="13"/>
      <c r="G11" s="17"/>
      <c r="H11" s="17"/>
      <c r="I11" s="17"/>
      <c r="J11" s="18"/>
    </row>
    <row r="12" spans="1:10" ht="16" customHeight="1">
      <c r="A12" s="49"/>
      <c r="B12" s="19"/>
      <c r="C12" s="19"/>
      <c r="D12" s="20"/>
      <c r="E12" s="21"/>
      <c r="F12" s="13"/>
      <c r="G12" s="22" t="s">
        <v>25</v>
      </c>
      <c r="H12" s="23" t="s">
        <v>0</v>
      </c>
      <c r="I12" s="23" t="s">
        <v>1</v>
      </c>
      <c r="J12" s="24" t="s">
        <v>2</v>
      </c>
    </row>
    <row r="13" spans="1:10" ht="16" customHeight="1">
      <c r="A13" s="49"/>
      <c r="B13" s="22" t="s">
        <v>37</v>
      </c>
      <c r="C13" s="23" t="s">
        <v>0</v>
      </c>
      <c r="D13" s="23" t="s">
        <v>1</v>
      </c>
      <c r="E13" s="24" t="s">
        <v>2</v>
      </c>
      <c r="F13" s="25"/>
      <c r="G13" s="26" t="s">
        <v>40</v>
      </c>
      <c r="H13" s="27">
        <v>20</v>
      </c>
      <c r="I13" s="27">
        <v>50</v>
      </c>
      <c r="J13" s="28">
        <f>Table2257385[Projected Cost]-Table2257385[Actual Cost]</f>
        <v>-30</v>
      </c>
    </row>
    <row r="14" spans="1:10" ht="15.75" customHeight="1">
      <c r="A14" s="49"/>
      <c r="B14" s="26" t="s">
        <v>4</v>
      </c>
      <c r="C14" s="27">
        <v>1000</v>
      </c>
      <c r="D14" s="27">
        <v>1010</v>
      </c>
      <c r="E14" s="28">
        <f>Table1146274[Projected Cost]-Table1146274[Actual Cost]</f>
        <v>-10</v>
      </c>
      <c r="F14" s="29"/>
      <c r="G14" s="30" t="s">
        <v>41</v>
      </c>
      <c r="H14" s="31"/>
      <c r="I14" s="31"/>
      <c r="J14" s="32">
        <f>Table2257385[Projected Cost]-Table2257385[Actual Cost]</f>
        <v>0</v>
      </c>
    </row>
    <row r="15" spans="1:10" ht="15.75" customHeight="1">
      <c r="A15" s="49"/>
      <c r="B15" s="30" t="s">
        <v>6</v>
      </c>
      <c r="C15" s="31">
        <v>100</v>
      </c>
      <c r="D15" s="31">
        <v>200</v>
      </c>
      <c r="E15" s="32">
        <f>Table1146274[Projected Cost]-Table1146274[Actual Cost]</f>
        <v>-100</v>
      </c>
      <c r="F15" s="29"/>
      <c r="G15" s="26" t="s">
        <v>13</v>
      </c>
      <c r="H15" s="27">
        <v>25</v>
      </c>
      <c r="I15" s="27">
        <v>45</v>
      </c>
      <c r="J15" s="28">
        <f>Table2257385[Projected Cost]-Table2257385[Actual Cost]</f>
        <v>-20</v>
      </c>
    </row>
    <row r="16" spans="1:10" ht="15.75" customHeight="1">
      <c r="A16" s="49"/>
      <c r="B16" s="26" t="s">
        <v>7</v>
      </c>
      <c r="C16" s="27"/>
      <c r="D16" s="27"/>
      <c r="E16" s="28">
        <f>Table1146274[Projected Cost]-Table1146274[Actual Cost]</f>
        <v>0</v>
      </c>
      <c r="F16" s="29"/>
      <c r="G16" s="30" t="s">
        <v>14</v>
      </c>
      <c r="H16" s="31"/>
      <c r="I16" s="31"/>
      <c r="J16" s="32">
        <f>Table2257385[Projected Cost]-Table2257385[Actual Cost]</f>
        <v>0</v>
      </c>
    </row>
    <row r="17" spans="1:10" ht="15.75" customHeight="1">
      <c r="A17" s="49"/>
      <c r="B17" s="30" t="s">
        <v>8</v>
      </c>
      <c r="C17" s="31"/>
      <c r="D17" s="31"/>
      <c r="E17" s="32">
        <f>Table1146274[Projected Cost]-Table1146274[Actual Cost]</f>
        <v>0</v>
      </c>
      <c r="F17" s="29"/>
      <c r="G17" s="26" t="s">
        <v>21</v>
      </c>
      <c r="H17" s="27"/>
      <c r="I17" s="27"/>
      <c r="J17" s="28">
        <f>Table2257385[Projected Cost]-Table2257385[Actual Cost]</f>
        <v>0</v>
      </c>
    </row>
    <row r="18" spans="1:10" ht="15.75" customHeight="1">
      <c r="A18" s="49"/>
      <c r="B18" s="22" t="s">
        <v>35</v>
      </c>
      <c r="C18" s="31">
        <f>SUBTOTAL(109,Table1146274[Projected Cost])</f>
        <v>1100</v>
      </c>
      <c r="D18" s="31">
        <f>SUBTOTAL(109,Table1146274[Actual Cost])</f>
        <v>1210</v>
      </c>
      <c r="E18" s="33">
        <f>SUBTOTAL(109,Table1146274[Difference])</f>
        <v>-110</v>
      </c>
      <c r="F18" s="29"/>
      <c r="G18" s="30" t="s">
        <v>42</v>
      </c>
      <c r="H18" s="31">
        <v>50</v>
      </c>
      <c r="I18" s="31">
        <v>75</v>
      </c>
      <c r="J18" s="32">
        <f>Table2257385[Projected Cost]-Table2257385[Actual Cost]</f>
        <v>-25</v>
      </c>
    </row>
    <row r="19" spans="1:10" ht="15.75" customHeight="1">
      <c r="A19" s="49"/>
      <c r="B19" s="56"/>
      <c r="C19" s="56"/>
      <c r="D19" s="56"/>
      <c r="E19" s="56"/>
      <c r="F19" s="29"/>
      <c r="G19" s="26" t="s">
        <v>47</v>
      </c>
      <c r="H19" s="27"/>
      <c r="I19" s="27"/>
      <c r="J19" s="28">
        <f>Table2257385[Projected Cost]-Table2257385[Actual Cost]</f>
        <v>0</v>
      </c>
    </row>
    <row r="20" spans="1:10" ht="15.75" customHeight="1">
      <c r="A20" s="49"/>
      <c r="B20" s="22" t="s">
        <v>27</v>
      </c>
      <c r="C20" s="23" t="s">
        <v>0</v>
      </c>
      <c r="D20" s="23" t="s">
        <v>1</v>
      </c>
      <c r="E20" s="24" t="s">
        <v>2</v>
      </c>
      <c r="F20" s="29"/>
      <c r="G20" s="30" t="s">
        <v>8</v>
      </c>
      <c r="H20" s="31"/>
      <c r="I20" s="31"/>
      <c r="J20" s="32">
        <f>Table2257385[Projected Cost]-Table2257385[Actual Cost]</f>
        <v>0</v>
      </c>
    </row>
    <row r="21" spans="1:10" ht="15.75" customHeight="1">
      <c r="A21" s="49"/>
      <c r="B21" s="26" t="s">
        <v>20</v>
      </c>
      <c r="C21" s="27">
        <v>250</v>
      </c>
      <c r="D21" s="27">
        <v>250</v>
      </c>
      <c r="E21" s="28">
        <f>Table3216981[Projected Cost]-Table3216981[Actual Cost]</f>
        <v>0</v>
      </c>
      <c r="F21" s="29"/>
      <c r="G21" s="26" t="s">
        <v>8</v>
      </c>
      <c r="H21" s="27"/>
      <c r="I21" s="27"/>
      <c r="J21" s="28">
        <f>Table2257385[Projected Cost]-Table2257385[Actual Cost]</f>
        <v>0</v>
      </c>
    </row>
    <row r="22" spans="1:10" ht="15.75" customHeight="1">
      <c r="A22" s="49"/>
      <c r="B22" s="30" t="s">
        <v>51</v>
      </c>
      <c r="C22" s="31"/>
      <c r="D22" s="31"/>
      <c r="E22" s="32">
        <f>Table3216981[Projected Cost]-Table3216981[Actual Cost]</f>
        <v>0</v>
      </c>
      <c r="F22" s="29"/>
      <c r="G22" s="22" t="s">
        <v>35</v>
      </c>
      <c r="H22" s="34">
        <f>SUBTOTAL(109,Table2257385[Projected Cost])</f>
        <v>95</v>
      </c>
      <c r="I22" s="31">
        <f>SUBTOTAL(109,Table2257385[Actual Cost])</f>
        <v>170</v>
      </c>
      <c r="J22" s="33">
        <f>SUBTOTAL(109,Table2257385[Difference])</f>
        <v>-75</v>
      </c>
    </row>
    <row r="23" spans="1:10" ht="15.75" customHeight="1">
      <c r="A23" s="49"/>
      <c r="B23" s="26" t="s">
        <v>9</v>
      </c>
      <c r="C23" s="27"/>
      <c r="D23" s="27"/>
      <c r="E23" s="28">
        <f>Table3216981[Projected Cost]-Table3216981[Actual Cost]</f>
        <v>0</v>
      </c>
      <c r="F23" s="29"/>
      <c r="G23" s="67"/>
      <c r="H23" s="67"/>
      <c r="I23" s="67"/>
      <c r="J23" s="67"/>
    </row>
    <row r="24" spans="1:10" ht="15.75" customHeight="1">
      <c r="A24" s="49"/>
      <c r="B24" s="30" t="s">
        <v>5</v>
      </c>
      <c r="C24" s="31">
        <v>50</v>
      </c>
      <c r="D24" s="31">
        <v>60</v>
      </c>
      <c r="E24" s="32">
        <f>Table3216981[Projected Cost]-Table3216981[Actual Cost]</f>
        <v>-10</v>
      </c>
      <c r="F24" s="29"/>
      <c r="G24" s="22" t="s">
        <v>26</v>
      </c>
      <c r="H24" s="23" t="s">
        <v>0</v>
      </c>
      <c r="I24" s="23" t="s">
        <v>1</v>
      </c>
      <c r="J24" s="24" t="s">
        <v>2</v>
      </c>
    </row>
    <row r="25" spans="1:10" ht="15.75" customHeight="1">
      <c r="A25" s="49"/>
      <c r="B25" s="26" t="s">
        <v>10</v>
      </c>
      <c r="C25" s="27"/>
      <c r="D25" s="27"/>
      <c r="E25" s="28">
        <f>Table3216981[Projected Cost]-Table3216981[Actual Cost]</f>
        <v>0</v>
      </c>
      <c r="F25" s="29"/>
      <c r="G25" s="26" t="s">
        <v>43</v>
      </c>
      <c r="H25" s="27">
        <v>400</v>
      </c>
      <c r="I25" s="27">
        <v>400</v>
      </c>
      <c r="J25" s="28">
        <f>Table8227082[Projected Cost]-Table8227082[Actual Cost]</f>
        <v>0</v>
      </c>
    </row>
    <row r="26" spans="1:10" ht="15.75" customHeight="1">
      <c r="A26" s="49"/>
      <c r="B26" s="30" t="s">
        <v>8</v>
      </c>
      <c r="C26" s="31"/>
      <c r="D26" s="31"/>
      <c r="E26" s="32">
        <f>Table3216981[Projected Cost]-Table3216981[Actual Cost]</f>
        <v>0</v>
      </c>
      <c r="F26" s="29"/>
      <c r="G26" s="30" t="s">
        <v>44</v>
      </c>
      <c r="H26" s="31"/>
      <c r="I26" s="31"/>
      <c r="J26" s="32">
        <f>Table8227082[Projected Cost]-Table8227082[Actual Cost]</f>
        <v>0</v>
      </c>
    </row>
    <row r="27" spans="1:10" ht="15.75" customHeight="1">
      <c r="A27" s="49"/>
      <c r="B27" s="22" t="s">
        <v>35</v>
      </c>
      <c r="C27" s="31">
        <f>SUBTOTAL(109,Table3216981[Projected Cost])</f>
        <v>300</v>
      </c>
      <c r="D27" s="31">
        <f>SUBTOTAL(109,Table3216981[Actual Cost])</f>
        <v>310</v>
      </c>
      <c r="E27" s="33">
        <f>SUBTOTAL(109,Table3216981[Difference])</f>
        <v>-10</v>
      </c>
      <c r="F27" s="29"/>
      <c r="G27" s="26" t="s">
        <v>22</v>
      </c>
      <c r="H27" s="27"/>
      <c r="I27" s="27"/>
      <c r="J27" s="28">
        <f>Table8227082[Projected Cost]-Table8227082[Actual Cost]</f>
        <v>0</v>
      </c>
    </row>
    <row r="28" spans="1:10" ht="15.75" customHeight="1">
      <c r="A28" s="49"/>
      <c r="B28" s="56"/>
      <c r="C28" s="56"/>
      <c r="D28" s="56"/>
      <c r="E28" s="56"/>
      <c r="F28" s="29"/>
      <c r="G28" s="30" t="s">
        <v>22</v>
      </c>
      <c r="H28" s="31"/>
      <c r="I28" s="31"/>
      <c r="J28" s="32">
        <f>Table8227082[Projected Cost]-Table8227082[Actual Cost]</f>
        <v>0</v>
      </c>
    </row>
    <row r="29" spans="1:10" ht="15.75" customHeight="1">
      <c r="A29" s="49"/>
      <c r="B29" s="22" t="s">
        <v>36</v>
      </c>
      <c r="C29" s="23" t="s">
        <v>0</v>
      </c>
      <c r="D29" s="23" t="s">
        <v>1</v>
      </c>
      <c r="E29" s="24" t="s">
        <v>2</v>
      </c>
      <c r="F29" s="29"/>
      <c r="G29" s="26" t="s">
        <v>22</v>
      </c>
      <c r="H29" s="27">
        <v>100</v>
      </c>
      <c r="I29" s="27">
        <v>100</v>
      </c>
      <c r="J29" s="28">
        <f>Table8227082[Projected Cost]-Table8227082[Actual Cost]</f>
        <v>0</v>
      </c>
    </row>
    <row r="30" spans="1:10" ht="15.75" customHeight="1">
      <c r="A30" s="49"/>
      <c r="B30" s="26" t="s">
        <v>5</v>
      </c>
      <c r="C30" s="27">
        <v>50</v>
      </c>
      <c r="D30" s="27">
        <v>50</v>
      </c>
      <c r="E30" s="28">
        <f>Table4156375[Projected Cost]-Table4156375[Actual Cost]</f>
        <v>0</v>
      </c>
      <c r="F30" s="29"/>
      <c r="G30" s="30" t="s">
        <v>8</v>
      </c>
      <c r="H30" s="31"/>
      <c r="I30" s="31"/>
      <c r="J30" s="32">
        <f>Table8227082[Projected Cost]-Table8227082[Actual Cost]</f>
        <v>0</v>
      </c>
    </row>
    <row r="31" spans="1:10" ht="15.75" customHeight="1">
      <c r="A31" s="49"/>
      <c r="B31" s="30" t="s">
        <v>38</v>
      </c>
      <c r="C31" s="31">
        <v>100</v>
      </c>
      <c r="D31" s="31">
        <v>110</v>
      </c>
      <c r="E31" s="32">
        <f>Table4156375[Projected Cost]-Table4156375[Actual Cost]</f>
        <v>-10</v>
      </c>
      <c r="F31" s="29"/>
      <c r="G31" s="22" t="s">
        <v>35</v>
      </c>
      <c r="H31" s="31">
        <f>SUBTOTAL(109,Table8227082[Projected Cost])</f>
        <v>500</v>
      </c>
      <c r="I31" s="31">
        <f>SUBTOTAL(109,Table8227082[Actual Cost])</f>
        <v>500</v>
      </c>
      <c r="J31" s="33">
        <f>SUBTOTAL(109,Table8227082[Difference])</f>
        <v>0</v>
      </c>
    </row>
    <row r="32" spans="1:10" ht="15.75" customHeight="1">
      <c r="A32" s="49"/>
      <c r="B32" s="26" t="s">
        <v>39</v>
      </c>
      <c r="C32" s="27"/>
      <c r="D32" s="27"/>
      <c r="E32" s="28">
        <f>Table4156375[Projected Cost]-Table4156375[Actual Cost]</f>
        <v>0</v>
      </c>
      <c r="F32" s="29"/>
      <c r="G32" s="56"/>
      <c r="H32" s="56"/>
      <c r="I32" s="56"/>
      <c r="J32" s="56"/>
    </row>
    <row r="33" spans="1:10" ht="15.75" customHeight="1">
      <c r="A33" s="49"/>
      <c r="B33" s="30" t="s">
        <v>19</v>
      </c>
      <c r="C33" s="31"/>
      <c r="D33" s="31"/>
      <c r="E33" s="32">
        <f>Table4156375[Projected Cost]-Table4156375[Actual Cost]</f>
        <v>0</v>
      </c>
      <c r="F33" s="29"/>
      <c r="G33" s="22" t="s">
        <v>28</v>
      </c>
      <c r="H33" s="23" t="s">
        <v>0</v>
      </c>
      <c r="I33" s="23" t="s">
        <v>1</v>
      </c>
      <c r="J33" s="24" t="s">
        <v>2</v>
      </c>
    </row>
    <row r="34" spans="1:10" ht="15.75" customHeight="1">
      <c r="A34" s="49"/>
      <c r="B34" s="22" t="s">
        <v>35</v>
      </c>
      <c r="C34" s="31">
        <f>SUBTOTAL(109,Table4156375[Projected Cost])</f>
        <v>150</v>
      </c>
      <c r="D34" s="31">
        <f>SUBTOTAL(109,Table4156375[Actual Cost])</f>
        <v>160</v>
      </c>
      <c r="E34" s="33">
        <f>SUBTOTAL(109,Table4156375[Difference])</f>
        <v>-10</v>
      </c>
      <c r="F34" s="29"/>
      <c r="G34" s="26" t="s">
        <v>15</v>
      </c>
      <c r="H34" s="27">
        <v>25</v>
      </c>
      <c r="I34" s="27">
        <v>25</v>
      </c>
      <c r="J34" s="28">
        <f>Table9206880[Projected Cost]-Table9206880[Actual Cost]</f>
        <v>0</v>
      </c>
    </row>
    <row r="35" spans="1:10" ht="15.75" customHeight="1">
      <c r="A35" s="49"/>
      <c r="B35" s="56"/>
      <c r="C35" s="56"/>
      <c r="D35" s="56"/>
      <c r="E35" s="56"/>
      <c r="F35" s="29"/>
      <c r="G35" s="30" t="s">
        <v>16</v>
      </c>
      <c r="H35" s="31"/>
      <c r="I35" s="31"/>
      <c r="J35" s="32">
        <f>Table9206880[Projected Cost]-Table9206880[Actual Cost]</f>
        <v>0</v>
      </c>
    </row>
    <row r="36" spans="1:10" ht="15.75" customHeight="1">
      <c r="A36" s="49"/>
      <c r="B36" s="22" t="s">
        <v>29</v>
      </c>
      <c r="C36" s="23" t="s">
        <v>0</v>
      </c>
      <c r="D36" s="23" t="s">
        <v>1</v>
      </c>
      <c r="E36" s="24" t="s">
        <v>2</v>
      </c>
      <c r="F36" s="29"/>
      <c r="G36" s="26" t="s">
        <v>17</v>
      </c>
      <c r="H36" s="27"/>
      <c r="I36" s="27"/>
      <c r="J36" s="28">
        <f>Table9206880[Projected Cost]-Table9206880[Actual Cost]</f>
        <v>0</v>
      </c>
    </row>
    <row r="37" spans="1:10" ht="15.75" customHeight="1">
      <c r="A37" s="49"/>
      <c r="B37" s="26" t="s">
        <v>11</v>
      </c>
      <c r="C37" s="27">
        <v>500</v>
      </c>
      <c r="D37" s="27">
        <v>400</v>
      </c>
      <c r="E37" s="28">
        <f>Table5196779[Projected Cost]-Table5196779[Actual Cost]</f>
        <v>100</v>
      </c>
      <c r="F37" s="29"/>
      <c r="G37" s="30" t="s">
        <v>8</v>
      </c>
      <c r="H37" s="31"/>
      <c r="I37" s="31"/>
      <c r="J37" s="32">
        <f>Table9206880[Projected Cost]-Table9206880[Actual Cost]</f>
        <v>0</v>
      </c>
    </row>
    <row r="38" spans="1:10" ht="15.75" customHeight="1">
      <c r="A38" s="49"/>
      <c r="B38" s="30" t="s">
        <v>8</v>
      </c>
      <c r="C38" s="31"/>
      <c r="D38" s="31"/>
      <c r="E38" s="32">
        <f>Table5196779[Projected Cost]-Table5196779[Actual Cost]</f>
        <v>0</v>
      </c>
      <c r="F38" s="29"/>
      <c r="G38" s="22" t="s">
        <v>35</v>
      </c>
      <c r="H38" s="31">
        <f>SUBTOTAL(109,Table9206880[Projected Cost])</f>
        <v>25</v>
      </c>
      <c r="I38" s="31">
        <f>SUBTOTAL(109,Table9206880[Actual Cost])</f>
        <v>25</v>
      </c>
      <c r="J38" s="33">
        <f>SUBTOTAL(109,Table9206880[Difference])</f>
        <v>0</v>
      </c>
    </row>
    <row r="39" spans="1:10" ht="15.75" customHeight="1">
      <c r="A39" s="49"/>
      <c r="B39" s="22" t="s">
        <v>35</v>
      </c>
      <c r="C39" s="31">
        <f>SUBTOTAL(109,Table5196779[Projected Cost])</f>
        <v>500</v>
      </c>
      <c r="D39" s="31">
        <f>SUBTOTAL(109,Table5196779[Actual Cost])</f>
        <v>400</v>
      </c>
      <c r="E39" s="33">
        <f>SUBTOTAL(109,Table5196779[Difference])</f>
        <v>100</v>
      </c>
      <c r="F39" s="29"/>
      <c r="G39" s="56"/>
      <c r="H39" s="56"/>
      <c r="I39" s="56"/>
      <c r="J39" s="56"/>
    </row>
    <row r="40" spans="1:10" ht="15.75" customHeight="1">
      <c r="A40" s="49"/>
      <c r="B40" s="56"/>
      <c r="C40" s="56"/>
      <c r="D40" s="56"/>
      <c r="E40" s="56"/>
      <c r="F40" s="29"/>
      <c r="G40" s="22" t="s">
        <v>30</v>
      </c>
      <c r="H40" s="23" t="s">
        <v>0</v>
      </c>
      <c r="I40" s="23" t="s">
        <v>1</v>
      </c>
      <c r="J40" s="24" t="s">
        <v>2</v>
      </c>
    </row>
    <row r="41" spans="1:10" ht="15.75" customHeight="1">
      <c r="A41" s="49"/>
      <c r="B41" s="22" t="s">
        <v>48</v>
      </c>
      <c r="C41" s="23" t="s">
        <v>0</v>
      </c>
      <c r="D41" s="23" t="s">
        <v>1</v>
      </c>
      <c r="E41" s="24" t="s">
        <v>2</v>
      </c>
      <c r="F41" s="29"/>
      <c r="G41" s="26" t="s">
        <v>23</v>
      </c>
      <c r="H41" s="27"/>
      <c r="I41" s="27"/>
      <c r="J41" s="28">
        <f>Table10237183[Projected Cost]-Table10237183[Actual Cost]</f>
        <v>0</v>
      </c>
    </row>
    <row r="42" spans="1:10" ht="15.75" customHeight="1">
      <c r="A42" s="49"/>
      <c r="B42" s="26" t="s">
        <v>45</v>
      </c>
      <c r="C42" s="27">
        <v>50</v>
      </c>
      <c r="D42" s="27">
        <v>50</v>
      </c>
      <c r="E42" s="28">
        <f>Table6176577[Projected Cost]-Table6176577[Actual Cost]</f>
        <v>0</v>
      </c>
      <c r="F42" s="29"/>
      <c r="G42" s="30" t="s">
        <v>24</v>
      </c>
      <c r="H42" s="31"/>
      <c r="I42" s="31"/>
      <c r="J42" s="32">
        <f>Table10237183[Projected Cost]-Table10237183[Actual Cost]</f>
        <v>0</v>
      </c>
    </row>
    <row r="43" spans="1:10" ht="15.75" customHeight="1">
      <c r="A43" s="49"/>
      <c r="B43" s="30" t="s">
        <v>46</v>
      </c>
      <c r="C43" s="31"/>
      <c r="D43" s="31"/>
      <c r="E43" s="32">
        <f>Table6176577[Projected Cost]-Table6176577[Actual Cost]</f>
        <v>0</v>
      </c>
      <c r="F43" s="29"/>
      <c r="G43" s="26" t="s">
        <v>63</v>
      </c>
      <c r="H43" s="27">
        <v>1000</v>
      </c>
      <c r="I43" s="27">
        <v>250</v>
      </c>
      <c r="J43" s="28">
        <f>Table10237183[Projected Cost]-Table10237183[Actual Cost]</f>
        <v>750</v>
      </c>
    </row>
    <row r="44" spans="1:10" ht="15.75" customHeight="1">
      <c r="A44" s="49"/>
      <c r="B44" s="26" t="s">
        <v>49</v>
      </c>
      <c r="C44" s="27">
        <v>25</v>
      </c>
      <c r="D44" s="27">
        <v>0</v>
      </c>
      <c r="E44" s="28">
        <f>Table6176577[Projected Cost]-Table6176577[Actual Cost]</f>
        <v>25</v>
      </c>
      <c r="F44" s="29"/>
      <c r="G44" s="22" t="s">
        <v>35</v>
      </c>
      <c r="H44" s="31">
        <f>SUBTOTAL(109,Table10237183[Projected Cost])</f>
        <v>1000</v>
      </c>
      <c r="I44" s="31">
        <f>SUBTOTAL(109,Table10237183[Actual Cost])</f>
        <v>250</v>
      </c>
      <c r="J44" s="33">
        <f>SUBTOTAL(109,Table10237183[Difference])</f>
        <v>750</v>
      </c>
    </row>
    <row r="45" spans="1:10" ht="15.75" customHeight="1">
      <c r="A45" s="49"/>
      <c r="B45" s="30" t="s">
        <v>50</v>
      </c>
      <c r="C45" s="31">
        <v>50</v>
      </c>
      <c r="D45" s="31">
        <v>100</v>
      </c>
      <c r="E45" s="32">
        <f>Table6176577[Projected Cost]-Table6176577[Actual Cost]</f>
        <v>-50</v>
      </c>
      <c r="F45" s="29"/>
      <c r="G45" s="56"/>
      <c r="H45" s="56"/>
      <c r="I45" s="56"/>
      <c r="J45" s="56"/>
    </row>
    <row r="46" spans="1:10" ht="15.75" customHeight="1">
      <c r="A46" s="49"/>
      <c r="B46" s="26" t="s">
        <v>8</v>
      </c>
      <c r="C46" s="27"/>
      <c r="D46" s="27"/>
      <c r="E46" s="28">
        <f>Table6176577[Projected Cost]-Table6176577[Actual Cost]</f>
        <v>0</v>
      </c>
      <c r="F46" s="29"/>
      <c r="G46" s="22" t="s">
        <v>53</v>
      </c>
      <c r="H46" s="23" t="s">
        <v>0</v>
      </c>
      <c r="I46" s="23" t="s">
        <v>1</v>
      </c>
      <c r="J46" s="24" t="s">
        <v>2</v>
      </c>
    </row>
    <row r="47" spans="1:10" ht="15.75" customHeight="1">
      <c r="A47" s="49"/>
      <c r="B47" s="22" t="s">
        <v>35</v>
      </c>
      <c r="C47" s="31">
        <f>SUBTOTAL(109,Table6176577[Projected Cost])</f>
        <v>125</v>
      </c>
      <c r="D47" s="31">
        <f>SUBTOTAL(109,Table6176577[Actual Cost])</f>
        <v>150</v>
      </c>
      <c r="E47" s="33">
        <f>SUBTOTAL(109,Table6176577[Difference])</f>
        <v>-25</v>
      </c>
      <c r="F47" s="29"/>
      <c r="G47" s="26" t="s">
        <v>9</v>
      </c>
      <c r="H47" s="27"/>
      <c r="I47" s="27"/>
      <c r="J47" s="28">
        <f>Table11186678[Projected Cost]-Table11186678[Actual Cost]</f>
        <v>0</v>
      </c>
    </row>
    <row r="48" spans="1:10" ht="15.75" customHeight="1">
      <c r="A48" s="49"/>
      <c r="B48" s="56"/>
      <c r="C48" s="56"/>
      <c r="D48" s="56"/>
      <c r="E48" s="56"/>
      <c r="F48" s="29"/>
      <c r="G48" s="30" t="s">
        <v>57</v>
      </c>
      <c r="H48" s="31"/>
      <c r="I48" s="31"/>
      <c r="J48" s="32">
        <f>Table11186678[Projected Cost]-Table11186678[Actual Cost]</f>
        <v>0</v>
      </c>
    </row>
    <row r="49" spans="1:10" ht="15.75" customHeight="1">
      <c r="A49" s="49"/>
      <c r="B49" s="22" t="s">
        <v>31</v>
      </c>
      <c r="C49" s="23" t="s">
        <v>0</v>
      </c>
      <c r="D49" s="23" t="s">
        <v>1</v>
      </c>
      <c r="E49" s="24" t="s">
        <v>2</v>
      </c>
      <c r="F49" s="29"/>
      <c r="G49" s="26" t="s">
        <v>58</v>
      </c>
      <c r="H49" s="27">
        <v>75</v>
      </c>
      <c r="I49" s="27">
        <v>50</v>
      </c>
      <c r="J49" s="28">
        <f>Table11186678[Projected Cost]-Table11186678[Actual Cost]</f>
        <v>25</v>
      </c>
    </row>
    <row r="50" spans="1:10" ht="15.75" customHeight="1">
      <c r="A50" s="49"/>
      <c r="B50" s="26" t="s">
        <v>55</v>
      </c>
      <c r="C50" s="27">
        <v>15</v>
      </c>
      <c r="D50" s="27">
        <v>25</v>
      </c>
      <c r="E50" s="28">
        <f>Table7247284[Projected Cost]-Table7247284[Actual Cost]</f>
        <v>-10</v>
      </c>
      <c r="F50" s="29"/>
      <c r="G50" s="22" t="s">
        <v>35</v>
      </c>
      <c r="H50" s="31">
        <f>SUBTOTAL(109,Table11186678[Projected Cost])</f>
        <v>75</v>
      </c>
      <c r="I50" s="31">
        <f>SUBTOTAL(109,Table11186678[Actual Cost])</f>
        <v>50</v>
      </c>
      <c r="J50" s="33">
        <f>SUBTOTAL(109,Table11186678[Difference])</f>
        <v>25</v>
      </c>
    </row>
    <row r="51" spans="1:10" ht="15.75" customHeight="1">
      <c r="A51" s="49"/>
      <c r="B51" s="30" t="s">
        <v>56</v>
      </c>
      <c r="C51" s="31">
        <v>10</v>
      </c>
      <c r="D51" s="31">
        <v>20</v>
      </c>
      <c r="E51" s="32">
        <f>Table7247284[Projected Cost]-Table7247284[Actual Cost]</f>
        <v>-10</v>
      </c>
      <c r="F51" s="29"/>
      <c r="G51" s="56"/>
      <c r="H51" s="56"/>
      <c r="I51" s="56"/>
      <c r="J51" s="56"/>
    </row>
    <row r="52" spans="1:10" ht="15.75" customHeight="1">
      <c r="A52" s="49"/>
      <c r="B52" s="26" t="s">
        <v>12</v>
      </c>
      <c r="C52" s="27"/>
      <c r="D52" s="27"/>
      <c r="E52" s="28">
        <f>Table7247284[Projected Cost]-Table7247284[Actual Cost]</f>
        <v>0</v>
      </c>
      <c r="F52" s="29"/>
      <c r="G52" s="22" t="s">
        <v>59</v>
      </c>
      <c r="H52" s="23" t="s">
        <v>0</v>
      </c>
      <c r="I52" s="23" t="s">
        <v>1</v>
      </c>
      <c r="J52" s="24" t="s">
        <v>2</v>
      </c>
    </row>
    <row r="53" spans="1:10" ht="15.75" customHeight="1">
      <c r="A53" s="49"/>
      <c r="B53" s="30" t="s">
        <v>54</v>
      </c>
      <c r="C53" s="31">
        <v>25</v>
      </c>
      <c r="D53" s="31">
        <v>15</v>
      </c>
      <c r="E53" s="32">
        <f>Table7247284[Projected Cost]-Table7247284[Actual Cost]</f>
        <v>10</v>
      </c>
      <c r="F53" s="29"/>
      <c r="G53" s="26" t="s">
        <v>60</v>
      </c>
      <c r="H53" s="27">
        <v>50</v>
      </c>
      <c r="I53" s="27">
        <v>50</v>
      </c>
      <c r="J53" s="28">
        <f>Table12166476[Projected Cost]-Table12166476[Actual Cost]</f>
        <v>0</v>
      </c>
    </row>
    <row r="54" spans="1:10" ht="15.75" customHeight="1">
      <c r="A54" s="49"/>
      <c r="B54" s="26" t="s">
        <v>52</v>
      </c>
      <c r="C54" s="27">
        <v>30</v>
      </c>
      <c r="D54" s="27">
        <v>29</v>
      </c>
      <c r="E54" s="28">
        <f>Table7247284[Projected Cost]-Table7247284[Actual Cost]</f>
        <v>1</v>
      </c>
      <c r="F54" s="29"/>
      <c r="G54" s="30" t="s">
        <v>61</v>
      </c>
      <c r="H54" s="31"/>
      <c r="I54" s="31"/>
      <c r="J54" s="32">
        <f>Table12166476[Projected Cost]-Table12166476[Actual Cost]</f>
        <v>0</v>
      </c>
    </row>
    <row r="55" spans="1:10" ht="15.75" customHeight="1">
      <c r="A55" s="49"/>
      <c r="B55" s="30" t="s">
        <v>8</v>
      </c>
      <c r="C55" s="31"/>
      <c r="D55" s="31"/>
      <c r="E55" s="32">
        <f>Table7247284[Projected Cost]-Table7247284[Actual Cost]</f>
        <v>0</v>
      </c>
      <c r="F55" s="29"/>
      <c r="G55" s="26" t="s">
        <v>62</v>
      </c>
      <c r="H55" s="27"/>
      <c r="I55" s="27"/>
      <c r="J55" s="28">
        <f>Table12166476[Projected Cost]-Table12166476[Actual Cost]</f>
        <v>0</v>
      </c>
    </row>
    <row r="56" spans="1:10" ht="15.75" customHeight="1">
      <c r="A56" s="49"/>
      <c r="B56" s="26" t="s">
        <v>8</v>
      </c>
      <c r="C56" s="27"/>
      <c r="D56" s="27"/>
      <c r="E56" s="28">
        <f>Table7247284[Projected Cost]-Table7247284[Actual Cost]</f>
        <v>0</v>
      </c>
      <c r="F56" s="29"/>
      <c r="G56" s="30" t="s">
        <v>8</v>
      </c>
      <c r="H56" s="31"/>
      <c r="I56" s="31"/>
      <c r="J56" s="32">
        <f>Table12166476[Projected Cost]-Table12166476[Actual Cost]</f>
        <v>0</v>
      </c>
    </row>
    <row r="57" spans="1:10" ht="15.75" customHeight="1">
      <c r="A57" s="49"/>
      <c r="B57" s="22" t="s">
        <v>35</v>
      </c>
      <c r="C57" s="31">
        <f>SUBTOTAL(109,Table7247284[Projected Cost])</f>
        <v>80</v>
      </c>
      <c r="D57" s="31">
        <f>SUBTOTAL(109,Table7247284[Actual Cost])</f>
        <v>89</v>
      </c>
      <c r="E57" s="33">
        <f>SUBTOTAL(109,Table7247284[Difference])</f>
        <v>-9</v>
      </c>
      <c r="F57" s="29"/>
      <c r="G57" s="22" t="s">
        <v>35</v>
      </c>
      <c r="H57" s="31">
        <f>SUBTOTAL(109,Table12166476[Projected Cost])</f>
        <v>50</v>
      </c>
      <c r="I57" s="31">
        <f>SUBTOTAL(109,Table12166476[Actual Cost])</f>
        <v>50</v>
      </c>
      <c r="J57" s="33">
        <f>SUBTOTAL(109,Table12166476[Difference])</f>
        <v>0</v>
      </c>
    </row>
    <row r="58" spans="1:10" ht="15.75" customHeight="1">
      <c r="A58" s="49"/>
      <c r="F58" s="29"/>
      <c r="G58" s="57"/>
      <c r="H58" s="57"/>
      <c r="I58" s="57"/>
      <c r="J58" s="57"/>
    </row>
    <row r="59" spans="1:10" ht="28.5" customHeight="1">
      <c r="A59" s="49"/>
      <c r="F59" s="36"/>
      <c r="G59" s="37" t="s">
        <v>33</v>
      </c>
      <c r="H59" s="38"/>
      <c r="I59" s="39"/>
      <c r="J59" s="40">
        <f>SUM(C18,C27,C34,C39,C47,C57,H22,H31,H38,H44,H50,H57)</f>
        <v>4000</v>
      </c>
    </row>
    <row r="60" spans="1:10" ht="27.75" customHeight="1">
      <c r="A60" s="49"/>
      <c r="F60" s="36"/>
      <c r="G60" s="37" t="s">
        <v>75</v>
      </c>
      <c r="H60" s="38"/>
      <c r="I60" s="39"/>
      <c r="J60" s="40">
        <f>SUM(D18,D27,D34,D39,D47,D57,I22,I31,I38,I44,I50,I57)</f>
        <v>3364</v>
      </c>
    </row>
    <row r="61" spans="1:10" ht="30" customHeight="1">
      <c r="A61" s="49"/>
      <c r="F61" s="36"/>
      <c r="G61" s="37" t="s">
        <v>34</v>
      </c>
      <c r="H61" s="38"/>
      <c r="I61" s="39"/>
      <c r="J61" s="40">
        <f>SUM(E18,E27,E34,E39,E47,E57,J22,J31,J38,J44,J50,J57)</f>
        <v>636</v>
      </c>
    </row>
    <row r="62" spans="1:10" ht="15.75" customHeight="1">
      <c r="A62" s="49"/>
      <c r="F62" s="36"/>
    </row>
    <row r="63" spans="1:10" ht="15.75" customHeight="1">
      <c r="G63" s="41" t="s">
        <v>65</v>
      </c>
      <c r="H63" s="42"/>
    </row>
    <row r="64" spans="1:10">
      <c r="G64" s="43" t="str">
        <f>Table1146274[[#Headers],[HOME]]</f>
        <v>HOME</v>
      </c>
      <c r="H64" s="44">
        <f>Table1146274[[#Totals],[Actual Cost]]</f>
        <v>1210</v>
      </c>
    </row>
    <row r="65" spans="7:8">
      <c r="G65" s="45" t="str">
        <f>Table3216981[[#Headers],[TRANSPORTATION]]</f>
        <v>TRANSPORTATION</v>
      </c>
      <c r="H65" s="46">
        <f>Table3216981[[#Totals],[Actual Cost]]</f>
        <v>310</v>
      </c>
    </row>
    <row r="66" spans="7:8">
      <c r="G66" s="41" t="str">
        <f>Table4156375[[#Headers],[UTILITIES]]</f>
        <v>UTILITIES</v>
      </c>
      <c r="H66" s="42">
        <f>Table4156375[[#Totals],[Actual Cost]]</f>
        <v>160</v>
      </c>
    </row>
    <row r="67" spans="7:8">
      <c r="G67" s="43" t="str">
        <f>Table5196779[[#Headers],[FOOD]]</f>
        <v>FOOD</v>
      </c>
      <c r="H67" s="44">
        <f>Table5196779[[#Totals],[Actual Cost]]</f>
        <v>400</v>
      </c>
    </row>
    <row r="68" spans="7:8">
      <c r="G68" s="45" t="str">
        <f>Table6176577[[#Headers],[CONNECTIONS]]</f>
        <v>CONNECTIONS</v>
      </c>
      <c r="H68" s="46">
        <f>Table6176577[[#Totals],[Actual Cost]]</f>
        <v>150</v>
      </c>
    </row>
    <row r="69" spans="7:8">
      <c r="G69" s="41" t="str">
        <f>Table7247284[[#Headers],[PERSONAL CARE]]</f>
        <v>PERSONAL CARE</v>
      </c>
      <c r="H69" s="42">
        <f>Table7247284[[#Totals],[Actual Cost]]</f>
        <v>89</v>
      </c>
    </row>
    <row r="70" spans="7:8">
      <c r="G70" s="43" t="str">
        <f>Table2257385[[#Headers],[ENTERTAINMENT]]</f>
        <v>ENTERTAINMENT</v>
      </c>
      <c r="H70" s="44">
        <f>Table2257385[[#Totals],[Actual Cost]]</f>
        <v>170</v>
      </c>
    </row>
    <row r="71" spans="7:8">
      <c r="G71" s="45" t="str">
        <f>Table8227082[[#Headers],[LOANS]]</f>
        <v>LOANS</v>
      </c>
      <c r="H71" s="46">
        <f>Table8227082[[#Totals],[Actual Cost]]</f>
        <v>500</v>
      </c>
    </row>
    <row r="72" spans="7:8">
      <c r="G72" s="41" t="str">
        <f>Table9206880[[#Headers],[TAXES]]</f>
        <v>TAXES</v>
      </c>
      <c r="H72" s="42">
        <f>Table9206880[[#Totals],[Actual Cost]]</f>
        <v>25</v>
      </c>
    </row>
    <row r="73" spans="7:8">
      <c r="G73" s="43" t="str">
        <f>Table10237183[[#Headers],[SAVINGS OR INVESTMENTS]]</f>
        <v>SAVINGS OR INVESTMENTS</v>
      </c>
      <c r="H73" s="44">
        <f>Table10237183[[#Totals],[Actual Cost]]</f>
        <v>250</v>
      </c>
    </row>
    <row r="74" spans="7:8">
      <c r="G74" s="45" t="str">
        <f>Table11186678[[#Headers],[MEDICAL]]</f>
        <v>MEDICAL</v>
      </c>
      <c r="H74" s="46">
        <f>Table11186678[[#Totals],[Actual Cost]]</f>
        <v>50</v>
      </c>
    </row>
    <row r="75" spans="7:8">
      <c r="G75" s="41" t="str">
        <f>Table12166476[[#Headers],[MISC]]</f>
        <v>MISC</v>
      </c>
      <c r="H75" s="42">
        <f>Table12166476[[#Totals],[Actual Cost]]</f>
        <v>50</v>
      </c>
    </row>
    <row r="76" spans="7:8">
      <c r="G76" s="43" t="s">
        <v>35</v>
      </c>
      <c r="H76" s="44">
        <f>SUM(H64:H75)</f>
        <v>3364</v>
      </c>
    </row>
  </sheetData>
  <mergeCells count="27">
    <mergeCell ref="B2:J2"/>
    <mergeCell ref="B3:D3"/>
    <mergeCell ref="B4:B7"/>
    <mergeCell ref="C4:D4"/>
    <mergeCell ref="G4:I6"/>
    <mergeCell ref="J4:J6"/>
    <mergeCell ref="C6:D6"/>
    <mergeCell ref="C7:D7"/>
    <mergeCell ref="G7:I8"/>
    <mergeCell ref="J7:J8"/>
    <mergeCell ref="G39:J39"/>
    <mergeCell ref="B8:B11"/>
    <mergeCell ref="C8:D8"/>
    <mergeCell ref="G9:I10"/>
    <mergeCell ref="J9:J10"/>
    <mergeCell ref="C10:D10"/>
    <mergeCell ref="C11:D11"/>
    <mergeCell ref="B19:E19"/>
    <mergeCell ref="G23:J23"/>
    <mergeCell ref="B28:E28"/>
    <mergeCell ref="G32:J32"/>
    <mergeCell ref="B35:E35"/>
    <mergeCell ref="B40:E40"/>
    <mergeCell ref="G45:J45"/>
    <mergeCell ref="B48:E48"/>
    <mergeCell ref="G51:J51"/>
    <mergeCell ref="G58:J58"/>
  </mergeCells>
  <conditionalFormatting sqref="J13:J22 E42:E47 E30:E34 E14:E18 E21:E27 E37:E39 E50:E57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39997558519241921"/>
    <pageSetUpPr autoPageBreaks="0" fitToPage="1"/>
  </sheetPr>
  <dimension ref="A1:J76"/>
  <sheetViews>
    <sheetView showGridLines="0" workbookViewId="0">
      <selection activeCell="B2" sqref="B2:J2"/>
    </sheetView>
  </sheetViews>
  <sheetFormatPr baseColWidth="10" defaultColWidth="8.83203125" defaultRowHeight="13" x14ac:dyDescent="0"/>
  <cols>
    <col min="1" max="1" width="1.6640625" style="35" customWidth="1"/>
    <col min="2" max="2" width="28.33203125" style="35" bestFit="1" customWidth="1"/>
    <col min="3" max="3" width="17.1640625" style="35" bestFit="1" customWidth="1"/>
    <col min="4" max="4" width="14" style="35" bestFit="1" customWidth="1"/>
    <col min="5" max="5" width="12.83203125" style="35" bestFit="1" customWidth="1"/>
    <col min="6" max="6" width="2.83203125" style="35" customWidth="1"/>
    <col min="7" max="7" width="30.5" style="35" bestFit="1" customWidth="1"/>
    <col min="8" max="8" width="17.1640625" style="35" bestFit="1" customWidth="1"/>
    <col min="9" max="9" width="14" style="35" bestFit="1" customWidth="1"/>
    <col min="10" max="10" width="12.83203125" style="35" bestFit="1" customWidth="1"/>
    <col min="11" max="16384" width="8.83203125" style="35"/>
  </cols>
  <sheetData>
    <row r="1" spans="1:10" ht="8" customHeight="1">
      <c r="A1" s="47"/>
      <c r="B1" s="48"/>
      <c r="C1" s="48"/>
      <c r="D1" s="48"/>
      <c r="E1" s="48"/>
      <c r="F1" s="48"/>
      <c r="G1" s="48"/>
      <c r="H1" s="48"/>
      <c r="I1" s="48"/>
      <c r="J1" s="49"/>
    </row>
    <row r="2" spans="1:10" ht="52" customHeight="1">
      <c r="A2" s="47"/>
      <c r="B2" s="68" t="s">
        <v>84</v>
      </c>
      <c r="C2" s="68"/>
      <c r="D2" s="68"/>
      <c r="E2" s="68"/>
      <c r="F2" s="68"/>
      <c r="G2" s="68"/>
      <c r="H2" s="68"/>
      <c r="I2" s="68"/>
      <c r="J2" s="68"/>
    </row>
    <row r="3" spans="1:10" ht="8" customHeight="1">
      <c r="A3" s="49"/>
      <c r="B3" s="69"/>
      <c r="C3" s="69"/>
      <c r="D3" s="69"/>
      <c r="E3" s="50"/>
      <c r="F3" s="13"/>
      <c r="G3" s="50"/>
      <c r="H3" s="51"/>
      <c r="I3" s="52"/>
      <c r="J3" s="53"/>
    </row>
    <row r="4" spans="1:10" ht="16" customHeight="1">
      <c r="A4" s="49"/>
      <c r="B4" s="63" t="s">
        <v>66</v>
      </c>
      <c r="C4" s="54" t="s">
        <v>3</v>
      </c>
      <c r="D4" s="55"/>
      <c r="E4" s="12">
        <v>2000</v>
      </c>
      <c r="F4" s="13"/>
      <c r="G4" s="59" t="s">
        <v>99</v>
      </c>
      <c r="H4" s="59"/>
      <c r="I4" s="59"/>
      <c r="J4" s="60">
        <f>E7-J59</f>
        <v>-750</v>
      </c>
    </row>
    <row r="5" spans="1:10" ht="16" customHeight="1">
      <c r="A5" s="49"/>
      <c r="B5" s="64"/>
      <c r="C5" s="14" t="s">
        <v>67</v>
      </c>
      <c r="D5" s="15"/>
      <c r="E5" s="12">
        <v>1000</v>
      </c>
      <c r="F5" s="13"/>
      <c r="G5" s="59"/>
      <c r="H5" s="59"/>
      <c r="I5" s="59"/>
      <c r="J5" s="60"/>
    </row>
    <row r="6" spans="1:10" ht="16" customHeight="1">
      <c r="A6" s="49"/>
      <c r="B6" s="64"/>
      <c r="C6" s="54" t="s">
        <v>64</v>
      </c>
      <c r="D6" s="55"/>
      <c r="E6" s="12">
        <v>250</v>
      </c>
      <c r="F6" s="13"/>
      <c r="G6" s="59"/>
      <c r="H6" s="59"/>
      <c r="I6" s="59"/>
      <c r="J6" s="60"/>
    </row>
    <row r="7" spans="1:10" ht="16" customHeight="1">
      <c r="A7" s="49"/>
      <c r="B7" s="65"/>
      <c r="C7" s="61" t="s">
        <v>18</v>
      </c>
      <c r="D7" s="62"/>
      <c r="E7" s="16">
        <f>SUM(E4:E6)</f>
        <v>3250</v>
      </c>
      <c r="F7" s="13"/>
      <c r="G7" s="59" t="s">
        <v>100</v>
      </c>
      <c r="H7" s="59"/>
      <c r="I7" s="59"/>
      <c r="J7" s="60">
        <f>E11-J60</f>
        <v>636</v>
      </c>
    </row>
    <row r="8" spans="1:10" ht="16" customHeight="1">
      <c r="A8" s="49"/>
      <c r="B8" s="63" t="s">
        <v>32</v>
      </c>
      <c r="C8" s="54" t="s">
        <v>3</v>
      </c>
      <c r="D8" s="55"/>
      <c r="E8" s="12">
        <v>2500</v>
      </c>
      <c r="F8" s="13"/>
      <c r="G8" s="59"/>
      <c r="H8" s="59"/>
      <c r="I8" s="59"/>
      <c r="J8" s="60"/>
    </row>
    <row r="9" spans="1:10" ht="16" customHeight="1">
      <c r="A9" s="49"/>
      <c r="B9" s="64"/>
      <c r="C9" s="14" t="s">
        <v>67</v>
      </c>
      <c r="D9" s="15"/>
      <c r="E9" s="12">
        <v>1000</v>
      </c>
      <c r="F9" s="13"/>
      <c r="G9" s="59" t="s">
        <v>101</v>
      </c>
      <c r="H9" s="59"/>
      <c r="I9" s="59"/>
      <c r="J9" s="60">
        <f>J7-J4</f>
        <v>1386</v>
      </c>
    </row>
    <row r="10" spans="1:10" ht="16" customHeight="1">
      <c r="A10" s="49"/>
      <c r="B10" s="64"/>
      <c r="C10" s="54" t="s">
        <v>64</v>
      </c>
      <c r="D10" s="55"/>
      <c r="E10" s="12">
        <v>500</v>
      </c>
      <c r="F10" s="13"/>
      <c r="G10" s="59"/>
      <c r="H10" s="59"/>
      <c r="I10" s="59"/>
      <c r="J10" s="60"/>
    </row>
    <row r="11" spans="1:10" ht="16" customHeight="1">
      <c r="A11" s="49"/>
      <c r="B11" s="65"/>
      <c r="C11" s="61" t="s">
        <v>18</v>
      </c>
      <c r="D11" s="62"/>
      <c r="E11" s="16">
        <f>SUM(E8:E10)</f>
        <v>4000</v>
      </c>
      <c r="F11" s="13"/>
      <c r="G11" s="17"/>
      <c r="H11" s="17"/>
      <c r="I11" s="17"/>
      <c r="J11" s="18"/>
    </row>
    <row r="12" spans="1:10" ht="16" customHeight="1">
      <c r="A12" s="49"/>
      <c r="B12" s="19"/>
      <c r="C12" s="19"/>
      <c r="D12" s="20"/>
      <c r="E12" s="21"/>
      <c r="F12" s="13"/>
      <c r="G12" s="22" t="s">
        <v>25</v>
      </c>
      <c r="H12" s="23" t="s">
        <v>0</v>
      </c>
      <c r="I12" s="23" t="s">
        <v>1</v>
      </c>
      <c r="J12" s="24" t="s">
        <v>2</v>
      </c>
    </row>
    <row r="13" spans="1:10" ht="16" customHeight="1">
      <c r="A13" s="49"/>
      <c r="B13" s="22" t="s">
        <v>37</v>
      </c>
      <c r="C13" s="23" t="s">
        <v>0</v>
      </c>
      <c r="D13" s="23" t="s">
        <v>1</v>
      </c>
      <c r="E13" s="24" t="s">
        <v>2</v>
      </c>
      <c r="F13" s="25"/>
      <c r="G13" s="26" t="s">
        <v>40</v>
      </c>
      <c r="H13" s="27">
        <v>20</v>
      </c>
      <c r="I13" s="27">
        <v>50</v>
      </c>
      <c r="J13" s="28">
        <f>Table2257397[Projected Cost]-Table2257397[Actual Cost]</f>
        <v>-30</v>
      </c>
    </row>
    <row r="14" spans="1:10" ht="15.75" customHeight="1">
      <c r="A14" s="49"/>
      <c r="B14" s="26" t="s">
        <v>4</v>
      </c>
      <c r="C14" s="27">
        <v>1000</v>
      </c>
      <c r="D14" s="27">
        <v>1010</v>
      </c>
      <c r="E14" s="28">
        <f>Table1146286[Projected Cost]-Table1146286[Actual Cost]</f>
        <v>-10</v>
      </c>
      <c r="F14" s="29"/>
      <c r="G14" s="30" t="s">
        <v>41</v>
      </c>
      <c r="H14" s="31"/>
      <c r="I14" s="31"/>
      <c r="J14" s="32">
        <f>Table2257397[Projected Cost]-Table2257397[Actual Cost]</f>
        <v>0</v>
      </c>
    </row>
    <row r="15" spans="1:10" ht="15.75" customHeight="1">
      <c r="A15" s="49"/>
      <c r="B15" s="30" t="s">
        <v>6</v>
      </c>
      <c r="C15" s="31">
        <v>100</v>
      </c>
      <c r="D15" s="31">
        <v>200</v>
      </c>
      <c r="E15" s="32">
        <f>Table1146286[Projected Cost]-Table1146286[Actual Cost]</f>
        <v>-100</v>
      </c>
      <c r="F15" s="29"/>
      <c r="G15" s="26" t="s">
        <v>13</v>
      </c>
      <c r="H15" s="27">
        <v>25</v>
      </c>
      <c r="I15" s="27">
        <v>45</v>
      </c>
      <c r="J15" s="28">
        <f>Table2257397[Projected Cost]-Table2257397[Actual Cost]</f>
        <v>-20</v>
      </c>
    </row>
    <row r="16" spans="1:10" ht="15.75" customHeight="1">
      <c r="A16" s="49"/>
      <c r="B16" s="26" t="s">
        <v>7</v>
      </c>
      <c r="C16" s="27"/>
      <c r="D16" s="27"/>
      <c r="E16" s="28">
        <f>Table1146286[Projected Cost]-Table1146286[Actual Cost]</f>
        <v>0</v>
      </c>
      <c r="F16" s="29"/>
      <c r="G16" s="30" t="s">
        <v>14</v>
      </c>
      <c r="H16" s="31"/>
      <c r="I16" s="31"/>
      <c r="J16" s="32">
        <f>Table2257397[Projected Cost]-Table2257397[Actual Cost]</f>
        <v>0</v>
      </c>
    </row>
    <row r="17" spans="1:10" ht="15.75" customHeight="1">
      <c r="A17" s="49"/>
      <c r="B17" s="30" t="s">
        <v>8</v>
      </c>
      <c r="C17" s="31"/>
      <c r="D17" s="31"/>
      <c r="E17" s="32">
        <f>Table1146286[Projected Cost]-Table1146286[Actual Cost]</f>
        <v>0</v>
      </c>
      <c r="F17" s="29"/>
      <c r="G17" s="26" t="s">
        <v>21</v>
      </c>
      <c r="H17" s="27"/>
      <c r="I17" s="27"/>
      <c r="J17" s="28">
        <f>Table2257397[Projected Cost]-Table2257397[Actual Cost]</f>
        <v>0</v>
      </c>
    </row>
    <row r="18" spans="1:10" ht="15.75" customHeight="1">
      <c r="A18" s="49"/>
      <c r="B18" s="22" t="s">
        <v>35</v>
      </c>
      <c r="C18" s="31">
        <f>SUBTOTAL(109,Table1146286[Projected Cost])</f>
        <v>1100</v>
      </c>
      <c r="D18" s="31">
        <f>SUBTOTAL(109,Table1146286[Actual Cost])</f>
        <v>1210</v>
      </c>
      <c r="E18" s="33">
        <f>SUBTOTAL(109,Table1146286[Difference])</f>
        <v>-110</v>
      </c>
      <c r="F18" s="29"/>
      <c r="G18" s="30" t="s">
        <v>42</v>
      </c>
      <c r="H18" s="31">
        <v>50</v>
      </c>
      <c r="I18" s="31">
        <v>75</v>
      </c>
      <c r="J18" s="32">
        <f>Table2257397[Projected Cost]-Table2257397[Actual Cost]</f>
        <v>-25</v>
      </c>
    </row>
    <row r="19" spans="1:10" ht="15.75" customHeight="1">
      <c r="A19" s="49"/>
      <c r="B19" s="56"/>
      <c r="C19" s="56"/>
      <c r="D19" s="56"/>
      <c r="E19" s="56"/>
      <c r="F19" s="29"/>
      <c r="G19" s="26" t="s">
        <v>47</v>
      </c>
      <c r="H19" s="27"/>
      <c r="I19" s="27"/>
      <c r="J19" s="28">
        <f>Table2257397[Projected Cost]-Table2257397[Actual Cost]</f>
        <v>0</v>
      </c>
    </row>
    <row r="20" spans="1:10" ht="15.75" customHeight="1">
      <c r="A20" s="49"/>
      <c r="B20" s="22" t="s">
        <v>27</v>
      </c>
      <c r="C20" s="23" t="s">
        <v>0</v>
      </c>
      <c r="D20" s="23" t="s">
        <v>1</v>
      </c>
      <c r="E20" s="24" t="s">
        <v>2</v>
      </c>
      <c r="F20" s="29"/>
      <c r="G20" s="30" t="s">
        <v>8</v>
      </c>
      <c r="H20" s="31"/>
      <c r="I20" s="31"/>
      <c r="J20" s="32">
        <f>Table2257397[Projected Cost]-Table2257397[Actual Cost]</f>
        <v>0</v>
      </c>
    </row>
    <row r="21" spans="1:10" ht="15.75" customHeight="1">
      <c r="A21" s="49"/>
      <c r="B21" s="26" t="s">
        <v>20</v>
      </c>
      <c r="C21" s="27">
        <v>250</v>
      </c>
      <c r="D21" s="27">
        <v>250</v>
      </c>
      <c r="E21" s="28">
        <f>Table3216993[Projected Cost]-Table3216993[Actual Cost]</f>
        <v>0</v>
      </c>
      <c r="F21" s="29"/>
      <c r="G21" s="26" t="s">
        <v>8</v>
      </c>
      <c r="H21" s="27"/>
      <c r="I21" s="27"/>
      <c r="J21" s="28">
        <f>Table2257397[Projected Cost]-Table2257397[Actual Cost]</f>
        <v>0</v>
      </c>
    </row>
    <row r="22" spans="1:10" ht="15.75" customHeight="1">
      <c r="A22" s="49"/>
      <c r="B22" s="30" t="s">
        <v>51</v>
      </c>
      <c r="C22" s="31"/>
      <c r="D22" s="31"/>
      <c r="E22" s="32">
        <f>Table3216993[Projected Cost]-Table3216993[Actual Cost]</f>
        <v>0</v>
      </c>
      <c r="F22" s="29"/>
      <c r="G22" s="22" t="s">
        <v>35</v>
      </c>
      <c r="H22" s="34">
        <f>SUBTOTAL(109,Table2257397[Projected Cost])</f>
        <v>95</v>
      </c>
      <c r="I22" s="31">
        <f>SUBTOTAL(109,Table2257397[Actual Cost])</f>
        <v>170</v>
      </c>
      <c r="J22" s="33">
        <f>SUBTOTAL(109,Table2257397[Difference])</f>
        <v>-75</v>
      </c>
    </row>
    <row r="23" spans="1:10" ht="15.75" customHeight="1">
      <c r="A23" s="49"/>
      <c r="B23" s="26" t="s">
        <v>9</v>
      </c>
      <c r="C23" s="27"/>
      <c r="D23" s="27"/>
      <c r="E23" s="28">
        <f>Table3216993[Projected Cost]-Table3216993[Actual Cost]</f>
        <v>0</v>
      </c>
      <c r="F23" s="29"/>
      <c r="G23" s="67"/>
      <c r="H23" s="67"/>
      <c r="I23" s="67"/>
      <c r="J23" s="67"/>
    </row>
    <row r="24" spans="1:10" ht="15.75" customHeight="1">
      <c r="A24" s="49"/>
      <c r="B24" s="30" t="s">
        <v>5</v>
      </c>
      <c r="C24" s="31">
        <v>50</v>
      </c>
      <c r="D24" s="31">
        <v>60</v>
      </c>
      <c r="E24" s="32">
        <f>Table3216993[Projected Cost]-Table3216993[Actual Cost]</f>
        <v>-10</v>
      </c>
      <c r="F24" s="29"/>
      <c r="G24" s="22" t="s">
        <v>26</v>
      </c>
      <c r="H24" s="23" t="s">
        <v>0</v>
      </c>
      <c r="I24" s="23" t="s">
        <v>1</v>
      </c>
      <c r="J24" s="24" t="s">
        <v>2</v>
      </c>
    </row>
    <row r="25" spans="1:10" ht="15.75" customHeight="1">
      <c r="A25" s="49"/>
      <c r="B25" s="26" t="s">
        <v>10</v>
      </c>
      <c r="C25" s="27"/>
      <c r="D25" s="27"/>
      <c r="E25" s="28">
        <f>Table3216993[Projected Cost]-Table3216993[Actual Cost]</f>
        <v>0</v>
      </c>
      <c r="F25" s="29"/>
      <c r="G25" s="26" t="s">
        <v>43</v>
      </c>
      <c r="H25" s="27">
        <v>400</v>
      </c>
      <c r="I25" s="27">
        <v>400</v>
      </c>
      <c r="J25" s="28">
        <f>Table8227094[Projected Cost]-Table8227094[Actual Cost]</f>
        <v>0</v>
      </c>
    </row>
    <row r="26" spans="1:10" ht="15.75" customHeight="1">
      <c r="A26" s="49"/>
      <c r="B26" s="30" t="s">
        <v>8</v>
      </c>
      <c r="C26" s="31"/>
      <c r="D26" s="31"/>
      <c r="E26" s="32">
        <f>Table3216993[Projected Cost]-Table3216993[Actual Cost]</f>
        <v>0</v>
      </c>
      <c r="F26" s="29"/>
      <c r="G26" s="30" t="s">
        <v>44</v>
      </c>
      <c r="H26" s="31"/>
      <c r="I26" s="31"/>
      <c r="J26" s="32">
        <f>Table8227094[Projected Cost]-Table8227094[Actual Cost]</f>
        <v>0</v>
      </c>
    </row>
    <row r="27" spans="1:10" ht="15.75" customHeight="1">
      <c r="A27" s="49"/>
      <c r="B27" s="22" t="s">
        <v>35</v>
      </c>
      <c r="C27" s="31">
        <f>SUBTOTAL(109,Table3216993[Projected Cost])</f>
        <v>300</v>
      </c>
      <c r="D27" s="31">
        <f>SUBTOTAL(109,Table3216993[Actual Cost])</f>
        <v>310</v>
      </c>
      <c r="E27" s="33">
        <f>SUBTOTAL(109,Table3216993[Difference])</f>
        <v>-10</v>
      </c>
      <c r="F27" s="29"/>
      <c r="G27" s="26" t="s">
        <v>22</v>
      </c>
      <c r="H27" s="27"/>
      <c r="I27" s="27"/>
      <c r="J27" s="28">
        <f>Table8227094[Projected Cost]-Table8227094[Actual Cost]</f>
        <v>0</v>
      </c>
    </row>
    <row r="28" spans="1:10" ht="15.75" customHeight="1">
      <c r="A28" s="49"/>
      <c r="B28" s="56"/>
      <c r="C28" s="56"/>
      <c r="D28" s="56"/>
      <c r="E28" s="56"/>
      <c r="F28" s="29"/>
      <c r="G28" s="30" t="s">
        <v>22</v>
      </c>
      <c r="H28" s="31"/>
      <c r="I28" s="31"/>
      <c r="J28" s="32">
        <f>Table8227094[Projected Cost]-Table8227094[Actual Cost]</f>
        <v>0</v>
      </c>
    </row>
    <row r="29" spans="1:10" ht="15.75" customHeight="1">
      <c r="A29" s="49"/>
      <c r="B29" s="22" t="s">
        <v>36</v>
      </c>
      <c r="C29" s="23" t="s">
        <v>0</v>
      </c>
      <c r="D29" s="23" t="s">
        <v>1</v>
      </c>
      <c r="E29" s="24" t="s">
        <v>2</v>
      </c>
      <c r="F29" s="29"/>
      <c r="G29" s="26" t="s">
        <v>22</v>
      </c>
      <c r="H29" s="27">
        <v>100</v>
      </c>
      <c r="I29" s="27">
        <v>100</v>
      </c>
      <c r="J29" s="28">
        <f>Table8227094[Projected Cost]-Table8227094[Actual Cost]</f>
        <v>0</v>
      </c>
    </row>
    <row r="30" spans="1:10" ht="15.75" customHeight="1">
      <c r="A30" s="49"/>
      <c r="B30" s="26" t="s">
        <v>5</v>
      </c>
      <c r="C30" s="27">
        <v>50</v>
      </c>
      <c r="D30" s="27">
        <v>50</v>
      </c>
      <c r="E30" s="28">
        <f>Table4156387[Projected Cost]-Table4156387[Actual Cost]</f>
        <v>0</v>
      </c>
      <c r="F30" s="29"/>
      <c r="G30" s="30" t="s">
        <v>8</v>
      </c>
      <c r="H30" s="31"/>
      <c r="I30" s="31"/>
      <c r="J30" s="32">
        <f>Table8227094[Projected Cost]-Table8227094[Actual Cost]</f>
        <v>0</v>
      </c>
    </row>
    <row r="31" spans="1:10" ht="15.75" customHeight="1">
      <c r="A31" s="49"/>
      <c r="B31" s="30" t="s">
        <v>38</v>
      </c>
      <c r="C31" s="31">
        <v>100</v>
      </c>
      <c r="D31" s="31">
        <v>110</v>
      </c>
      <c r="E31" s="32">
        <f>Table4156387[Projected Cost]-Table4156387[Actual Cost]</f>
        <v>-10</v>
      </c>
      <c r="F31" s="29"/>
      <c r="G31" s="22" t="s">
        <v>35</v>
      </c>
      <c r="H31" s="31">
        <f>SUBTOTAL(109,Table8227094[Projected Cost])</f>
        <v>500</v>
      </c>
      <c r="I31" s="31">
        <f>SUBTOTAL(109,Table8227094[Actual Cost])</f>
        <v>500</v>
      </c>
      <c r="J31" s="33">
        <f>SUBTOTAL(109,Table8227094[Difference])</f>
        <v>0</v>
      </c>
    </row>
    <row r="32" spans="1:10" ht="15.75" customHeight="1">
      <c r="A32" s="49"/>
      <c r="B32" s="26" t="s">
        <v>39</v>
      </c>
      <c r="C32" s="27"/>
      <c r="D32" s="27"/>
      <c r="E32" s="28">
        <f>Table4156387[Projected Cost]-Table4156387[Actual Cost]</f>
        <v>0</v>
      </c>
      <c r="F32" s="29"/>
      <c r="G32" s="56"/>
      <c r="H32" s="56"/>
      <c r="I32" s="56"/>
      <c r="J32" s="56"/>
    </row>
    <row r="33" spans="1:10" ht="15.75" customHeight="1">
      <c r="A33" s="49"/>
      <c r="B33" s="30" t="s">
        <v>19</v>
      </c>
      <c r="C33" s="31"/>
      <c r="D33" s="31"/>
      <c r="E33" s="32">
        <f>Table4156387[Projected Cost]-Table4156387[Actual Cost]</f>
        <v>0</v>
      </c>
      <c r="F33" s="29"/>
      <c r="G33" s="22" t="s">
        <v>28</v>
      </c>
      <c r="H33" s="23" t="s">
        <v>0</v>
      </c>
      <c r="I33" s="23" t="s">
        <v>1</v>
      </c>
      <c r="J33" s="24" t="s">
        <v>2</v>
      </c>
    </row>
    <row r="34" spans="1:10" ht="15.75" customHeight="1">
      <c r="A34" s="49"/>
      <c r="B34" s="22" t="s">
        <v>35</v>
      </c>
      <c r="C34" s="31">
        <f>SUBTOTAL(109,Table4156387[Projected Cost])</f>
        <v>150</v>
      </c>
      <c r="D34" s="31">
        <f>SUBTOTAL(109,Table4156387[Actual Cost])</f>
        <v>160</v>
      </c>
      <c r="E34" s="33">
        <f>SUBTOTAL(109,Table4156387[Difference])</f>
        <v>-10</v>
      </c>
      <c r="F34" s="29"/>
      <c r="G34" s="26" t="s">
        <v>15</v>
      </c>
      <c r="H34" s="27">
        <v>25</v>
      </c>
      <c r="I34" s="27">
        <v>25</v>
      </c>
      <c r="J34" s="28">
        <f>Table9206892[Projected Cost]-Table9206892[Actual Cost]</f>
        <v>0</v>
      </c>
    </row>
    <row r="35" spans="1:10" ht="15.75" customHeight="1">
      <c r="A35" s="49"/>
      <c r="B35" s="56"/>
      <c r="C35" s="56"/>
      <c r="D35" s="56"/>
      <c r="E35" s="56"/>
      <c r="F35" s="29"/>
      <c r="G35" s="30" t="s">
        <v>16</v>
      </c>
      <c r="H35" s="31"/>
      <c r="I35" s="31"/>
      <c r="J35" s="32">
        <f>Table9206892[Projected Cost]-Table9206892[Actual Cost]</f>
        <v>0</v>
      </c>
    </row>
    <row r="36" spans="1:10" ht="15.75" customHeight="1">
      <c r="A36" s="49"/>
      <c r="B36" s="22" t="s">
        <v>29</v>
      </c>
      <c r="C36" s="23" t="s">
        <v>0</v>
      </c>
      <c r="D36" s="23" t="s">
        <v>1</v>
      </c>
      <c r="E36" s="24" t="s">
        <v>2</v>
      </c>
      <c r="F36" s="29"/>
      <c r="G36" s="26" t="s">
        <v>17</v>
      </c>
      <c r="H36" s="27"/>
      <c r="I36" s="27"/>
      <c r="J36" s="28">
        <f>Table9206892[Projected Cost]-Table9206892[Actual Cost]</f>
        <v>0</v>
      </c>
    </row>
    <row r="37" spans="1:10" ht="15.75" customHeight="1">
      <c r="A37" s="49"/>
      <c r="B37" s="26" t="s">
        <v>11</v>
      </c>
      <c r="C37" s="27">
        <v>500</v>
      </c>
      <c r="D37" s="27">
        <v>400</v>
      </c>
      <c r="E37" s="28">
        <f>Table5196791[Projected Cost]-Table5196791[Actual Cost]</f>
        <v>100</v>
      </c>
      <c r="F37" s="29"/>
      <c r="G37" s="30" t="s">
        <v>8</v>
      </c>
      <c r="H37" s="31"/>
      <c r="I37" s="31"/>
      <c r="J37" s="32">
        <f>Table9206892[Projected Cost]-Table9206892[Actual Cost]</f>
        <v>0</v>
      </c>
    </row>
    <row r="38" spans="1:10" ht="15.75" customHeight="1">
      <c r="A38" s="49"/>
      <c r="B38" s="30" t="s">
        <v>8</v>
      </c>
      <c r="C38" s="31"/>
      <c r="D38" s="31"/>
      <c r="E38" s="32">
        <f>Table5196791[Projected Cost]-Table5196791[Actual Cost]</f>
        <v>0</v>
      </c>
      <c r="F38" s="29"/>
      <c r="G38" s="22" t="s">
        <v>35</v>
      </c>
      <c r="H38" s="31">
        <f>SUBTOTAL(109,Table9206892[Projected Cost])</f>
        <v>25</v>
      </c>
      <c r="I38" s="31">
        <f>SUBTOTAL(109,Table9206892[Actual Cost])</f>
        <v>25</v>
      </c>
      <c r="J38" s="33">
        <f>SUBTOTAL(109,Table9206892[Difference])</f>
        <v>0</v>
      </c>
    </row>
    <row r="39" spans="1:10" ht="15.75" customHeight="1">
      <c r="A39" s="49"/>
      <c r="B39" s="22" t="s">
        <v>35</v>
      </c>
      <c r="C39" s="31">
        <f>SUBTOTAL(109,Table5196791[Projected Cost])</f>
        <v>500</v>
      </c>
      <c r="D39" s="31">
        <f>SUBTOTAL(109,Table5196791[Actual Cost])</f>
        <v>400</v>
      </c>
      <c r="E39" s="33">
        <f>SUBTOTAL(109,Table5196791[Difference])</f>
        <v>100</v>
      </c>
      <c r="F39" s="29"/>
      <c r="G39" s="56"/>
      <c r="H39" s="56"/>
      <c r="I39" s="56"/>
      <c r="J39" s="56"/>
    </row>
    <row r="40" spans="1:10" ht="15.75" customHeight="1">
      <c r="A40" s="49"/>
      <c r="B40" s="56"/>
      <c r="C40" s="56"/>
      <c r="D40" s="56"/>
      <c r="E40" s="56"/>
      <c r="F40" s="29"/>
      <c r="G40" s="22" t="s">
        <v>30</v>
      </c>
      <c r="H40" s="23" t="s">
        <v>0</v>
      </c>
      <c r="I40" s="23" t="s">
        <v>1</v>
      </c>
      <c r="J40" s="24" t="s">
        <v>2</v>
      </c>
    </row>
    <row r="41" spans="1:10" ht="15.75" customHeight="1">
      <c r="A41" s="49"/>
      <c r="B41" s="22" t="s">
        <v>48</v>
      </c>
      <c r="C41" s="23" t="s">
        <v>0</v>
      </c>
      <c r="D41" s="23" t="s">
        <v>1</v>
      </c>
      <c r="E41" s="24" t="s">
        <v>2</v>
      </c>
      <c r="F41" s="29"/>
      <c r="G41" s="26" t="s">
        <v>23</v>
      </c>
      <c r="H41" s="27"/>
      <c r="I41" s="27"/>
      <c r="J41" s="28">
        <f>Table10237195[Projected Cost]-Table10237195[Actual Cost]</f>
        <v>0</v>
      </c>
    </row>
    <row r="42" spans="1:10" ht="15.75" customHeight="1">
      <c r="A42" s="49"/>
      <c r="B42" s="26" t="s">
        <v>45</v>
      </c>
      <c r="C42" s="27">
        <v>50</v>
      </c>
      <c r="D42" s="27">
        <v>50</v>
      </c>
      <c r="E42" s="28">
        <f>Table6176589[Projected Cost]-Table6176589[Actual Cost]</f>
        <v>0</v>
      </c>
      <c r="F42" s="29"/>
      <c r="G42" s="30" t="s">
        <v>24</v>
      </c>
      <c r="H42" s="31"/>
      <c r="I42" s="31"/>
      <c r="J42" s="32">
        <f>Table10237195[Projected Cost]-Table10237195[Actual Cost]</f>
        <v>0</v>
      </c>
    </row>
    <row r="43" spans="1:10" ht="15.75" customHeight="1">
      <c r="A43" s="49"/>
      <c r="B43" s="30" t="s">
        <v>46</v>
      </c>
      <c r="C43" s="31"/>
      <c r="D43" s="31"/>
      <c r="E43" s="32">
        <f>Table6176589[Projected Cost]-Table6176589[Actual Cost]</f>
        <v>0</v>
      </c>
      <c r="F43" s="29"/>
      <c r="G43" s="26" t="s">
        <v>63</v>
      </c>
      <c r="H43" s="27">
        <v>1000</v>
      </c>
      <c r="I43" s="27">
        <v>250</v>
      </c>
      <c r="J43" s="28">
        <f>Table10237195[Projected Cost]-Table10237195[Actual Cost]</f>
        <v>750</v>
      </c>
    </row>
    <row r="44" spans="1:10" ht="15.75" customHeight="1">
      <c r="A44" s="49"/>
      <c r="B44" s="26" t="s">
        <v>49</v>
      </c>
      <c r="C44" s="27">
        <v>25</v>
      </c>
      <c r="D44" s="27">
        <v>0</v>
      </c>
      <c r="E44" s="28">
        <f>Table6176589[Projected Cost]-Table6176589[Actual Cost]</f>
        <v>25</v>
      </c>
      <c r="F44" s="29"/>
      <c r="G44" s="22" t="s">
        <v>35</v>
      </c>
      <c r="H44" s="31">
        <f>SUBTOTAL(109,Table10237195[Projected Cost])</f>
        <v>1000</v>
      </c>
      <c r="I44" s="31">
        <f>SUBTOTAL(109,Table10237195[Actual Cost])</f>
        <v>250</v>
      </c>
      <c r="J44" s="33">
        <f>SUBTOTAL(109,Table10237195[Difference])</f>
        <v>750</v>
      </c>
    </row>
    <row r="45" spans="1:10" ht="15.75" customHeight="1">
      <c r="A45" s="49"/>
      <c r="B45" s="30" t="s">
        <v>50</v>
      </c>
      <c r="C45" s="31">
        <v>50</v>
      </c>
      <c r="D45" s="31">
        <v>100</v>
      </c>
      <c r="E45" s="32">
        <f>Table6176589[Projected Cost]-Table6176589[Actual Cost]</f>
        <v>-50</v>
      </c>
      <c r="F45" s="29"/>
      <c r="G45" s="56"/>
      <c r="H45" s="56"/>
      <c r="I45" s="56"/>
      <c r="J45" s="56"/>
    </row>
    <row r="46" spans="1:10" ht="15.75" customHeight="1">
      <c r="A46" s="49"/>
      <c r="B46" s="26" t="s">
        <v>8</v>
      </c>
      <c r="C46" s="27"/>
      <c r="D46" s="27"/>
      <c r="E46" s="28">
        <f>Table6176589[Projected Cost]-Table6176589[Actual Cost]</f>
        <v>0</v>
      </c>
      <c r="F46" s="29"/>
      <c r="G46" s="22" t="s">
        <v>53</v>
      </c>
      <c r="H46" s="23" t="s">
        <v>0</v>
      </c>
      <c r="I46" s="23" t="s">
        <v>1</v>
      </c>
      <c r="J46" s="24" t="s">
        <v>2</v>
      </c>
    </row>
    <row r="47" spans="1:10" ht="15.75" customHeight="1">
      <c r="A47" s="49"/>
      <c r="B47" s="22" t="s">
        <v>35</v>
      </c>
      <c r="C47" s="31">
        <f>SUBTOTAL(109,Table6176589[Projected Cost])</f>
        <v>125</v>
      </c>
      <c r="D47" s="31">
        <f>SUBTOTAL(109,Table6176589[Actual Cost])</f>
        <v>150</v>
      </c>
      <c r="E47" s="33">
        <f>SUBTOTAL(109,Table6176589[Difference])</f>
        <v>-25</v>
      </c>
      <c r="F47" s="29"/>
      <c r="G47" s="26" t="s">
        <v>9</v>
      </c>
      <c r="H47" s="27"/>
      <c r="I47" s="27"/>
      <c r="J47" s="28">
        <f>Table11186690[Projected Cost]-Table11186690[Actual Cost]</f>
        <v>0</v>
      </c>
    </row>
    <row r="48" spans="1:10" ht="15.75" customHeight="1">
      <c r="A48" s="49"/>
      <c r="B48" s="56"/>
      <c r="C48" s="56"/>
      <c r="D48" s="56"/>
      <c r="E48" s="56"/>
      <c r="F48" s="29"/>
      <c r="G48" s="30" t="s">
        <v>57</v>
      </c>
      <c r="H48" s="31"/>
      <c r="I48" s="31"/>
      <c r="J48" s="32">
        <f>Table11186690[Projected Cost]-Table11186690[Actual Cost]</f>
        <v>0</v>
      </c>
    </row>
    <row r="49" spans="1:10" ht="15.75" customHeight="1">
      <c r="A49" s="49"/>
      <c r="B49" s="22" t="s">
        <v>31</v>
      </c>
      <c r="C49" s="23" t="s">
        <v>0</v>
      </c>
      <c r="D49" s="23" t="s">
        <v>1</v>
      </c>
      <c r="E49" s="24" t="s">
        <v>2</v>
      </c>
      <c r="F49" s="29"/>
      <c r="G49" s="26" t="s">
        <v>58</v>
      </c>
      <c r="H49" s="27">
        <v>75</v>
      </c>
      <c r="I49" s="27">
        <v>50</v>
      </c>
      <c r="J49" s="28">
        <f>Table11186690[Projected Cost]-Table11186690[Actual Cost]</f>
        <v>25</v>
      </c>
    </row>
    <row r="50" spans="1:10" ht="15.75" customHeight="1">
      <c r="A50" s="49"/>
      <c r="B50" s="26" t="s">
        <v>55</v>
      </c>
      <c r="C50" s="27">
        <v>15</v>
      </c>
      <c r="D50" s="27">
        <v>25</v>
      </c>
      <c r="E50" s="28">
        <f>Table7247296[Projected Cost]-Table7247296[Actual Cost]</f>
        <v>-10</v>
      </c>
      <c r="F50" s="29"/>
      <c r="G50" s="22" t="s">
        <v>35</v>
      </c>
      <c r="H50" s="31">
        <f>SUBTOTAL(109,Table11186690[Projected Cost])</f>
        <v>75</v>
      </c>
      <c r="I50" s="31">
        <f>SUBTOTAL(109,Table11186690[Actual Cost])</f>
        <v>50</v>
      </c>
      <c r="J50" s="33">
        <f>SUBTOTAL(109,Table11186690[Difference])</f>
        <v>25</v>
      </c>
    </row>
    <row r="51" spans="1:10" ht="15.75" customHeight="1">
      <c r="A51" s="49"/>
      <c r="B51" s="30" t="s">
        <v>56</v>
      </c>
      <c r="C51" s="31">
        <v>10</v>
      </c>
      <c r="D51" s="31">
        <v>20</v>
      </c>
      <c r="E51" s="32">
        <f>Table7247296[Projected Cost]-Table7247296[Actual Cost]</f>
        <v>-10</v>
      </c>
      <c r="F51" s="29"/>
      <c r="G51" s="56"/>
      <c r="H51" s="56"/>
      <c r="I51" s="56"/>
      <c r="J51" s="56"/>
    </row>
    <row r="52" spans="1:10" ht="15.75" customHeight="1">
      <c r="A52" s="49"/>
      <c r="B52" s="26" t="s">
        <v>12</v>
      </c>
      <c r="C52" s="27"/>
      <c r="D52" s="27"/>
      <c r="E52" s="28">
        <f>Table7247296[Projected Cost]-Table7247296[Actual Cost]</f>
        <v>0</v>
      </c>
      <c r="F52" s="29"/>
      <c r="G52" s="22" t="s">
        <v>59</v>
      </c>
      <c r="H52" s="23" t="s">
        <v>0</v>
      </c>
      <c r="I52" s="23" t="s">
        <v>1</v>
      </c>
      <c r="J52" s="24" t="s">
        <v>2</v>
      </c>
    </row>
    <row r="53" spans="1:10" ht="15.75" customHeight="1">
      <c r="A53" s="49"/>
      <c r="B53" s="30" t="s">
        <v>54</v>
      </c>
      <c r="C53" s="31">
        <v>25</v>
      </c>
      <c r="D53" s="31">
        <v>15</v>
      </c>
      <c r="E53" s="32">
        <f>Table7247296[Projected Cost]-Table7247296[Actual Cost]</f>
        <v>10</v>
      </c>
      <c r="F53" s="29"/>
      <c r="G53" s="26" t="s">
        <v>60</v>
      </c>
      <c r="H53" s="27">
        <v>50</v>
      </c>
      <c r="I53" s="27">
        <v>50</v>
      </c>
      <c r="J53" s="28">
        <f>Table12166488[Projected Cost]-Table12166488[Actual Cost]</f>
        <v>0</v>
      </c>
    </row>
    <row r="54" spans="1:10" ht="15.75" customHeight="1">
      <c r="A54" s="49"/>
      <c r="B54" s="26" t="s">
        <v>52</v>
      </c>
      <c r="C54" s="27">
        <v>30</v>
      </c>
      <c r="D54" s="27">
        <v>29</v>
      </c>
      <c r="E54" s="28">
        <f>Table7247296[Projected Cost]-Table7247296[Actual Cost]</f>
        <v>1</v>
      </c>
      <c r="F54" s="29"/>
      <c r="G54" s="30" t="s">
        <v>61</v>
      </c>
      <c r="H54" s="31"/>
      <c r="I54" s="31"/>
      <c r="J54" s="32">
        <f>Table12166488[Projected Cost]-Table12166488[Actual Cost]</f>
        <v>0</v>
      </c>
    </row>
    <row r="55" spans="1:10" ht="15.75" customHeight="1">
      <c r="A55" s="49"/>
      <c r="B55" s="30" t="s">
        <v>8</v>
      </c>
      <c r="C55" s="31"/>
      <c r="D55" s="31"/>
      <c r="E55" s="32">
        <f>Table7247296[Projected Cost]-Table7247296[Actual Cost]</f>
        <v>0</v>
      </c>
      <c r="F55" s="29"/>
      <c r="G55" s="26" t="s">
        <v>62</v>
      </c>
      <c r="H55" s="27"/>
      <c r="I55" s="27"/>
      <c r="J55" s="28">
        <f>Table12166488[Projected Cost]-Table12166488[Actual Cost]</f>
        <v>0</v>
      </c>
    </row>
    <row r="56" spans="1:10" ht="15.75" customHeight="1">
      <c r="A56" s="49"/>
      <c r="B56" s="26" t="s">
        <v>8</v>
      </c>
      <c r="C56" s="27"/>
      <c r="D56" s="27"/>
      <c r="E56" s="28">
        <f>Table7247296[Projected Cost]-Table7247296[Actual Cost]</f>
        <v>0</v>
      </c>
      <c r="F56" s="29"/>
      <c r="G56" s="30" t="s">
        <v>8</v>
      </c>
      <c r="H56" s="31"/>
      <c r="I56" s="31"/>
      <c r="J56" s="32">
        <f>Table12166488[Projected Cost]-Table12166488[Actual Cost]</f>
        <v>0</v>
      </c>
    </row>
    <row r="57" spans="1:10" ht="15.75" customHeight="1">
      <c r="A57" s="49"/>
      <c r="B57" s="22" t="s">
        <v>35</v>
      </c>
      <c r="C57" s="31">
        <f>SUBTOTAL(109,Table7247296[Projected Cost])</f>
        <v>80</v>
      </c>
      <c r="D57" s="31">
        <f>SUBTOTAL(109,Table7247296[Actual Cost])</f>
        <v>89</v>
      </c>
      <c r="E57" s="33">
        <f>SUBTOTAL(109,Table7247296[Difference])</f>
        <v>-9</v>
      </c>
      <c r="F57" s="29"/>
      <c r="G57" s="22" t="s">
        <v>35</v>
      </c>
      <c r="H57" s="31">
        <f>SUBTOTAL(109,Table12166488[Projected Cost])</f>
        <v>50</v>
      </c>
      <c r="I57" s="31">
        <f>SUBTOTAL(109,Table12166488[Actual Cost])</f>
        <v>50</v>
      </c>
      <c r="J57" s="33">
        <f>SUBTOTAL(109,Table12166488[Difference])</f>
        <v>0</v>
      </c>
    </row>
    <row r="58" spans="1:10" ht="15.75" customHeight="1">
      <c r="A58" s="49"/>
      <c r="F58" s="29"/>
      <c r="G58" s="57"/>
      <c r="H58" s="57"/>
      <c r="I58" s="57"/>
      <c r="J58" s="57"/>
    </row>
    <row r="59" spans="1:10" ht="25.5" customHeight="1">
      <c r="A59" s="49"/>
      <c r="F59" s="36"/>
      <c r="G59" s="37" t="s">
        <v>33</v>
      </c>
      <c r="H59" s="38"/>
      <c r="I59" s="39"/>
      <c r="J59" s="40">
        <f>SUM(C18,C27,C34,C39,C47,C57,H22,H31,H38,H44,H50,H57)</f>
        <v>4000</v>
      </c>
    </row>
    <row r="60" spans="1:10" ht="27.75" customHeight="1">
      <c r="A60" s="49"/>
      <c r="F60" s="36"/>
      <c r="G60" s="37" t="s">
        <v>76</v>
      </c>
      <c r="H60" s="38"/>
      <c r="I60" s="39"/>
      <c r="J60" s="40">
        <f>SUM(D18,D27,D34,D39,D47,D57,I22,I31,I38,I44,I50,I57)</f>
        <v>3364</v>
      </c>
    </row>
    <row r="61" spans="1:10" ht="27.75" customHeight="1">
      <c r="A61" s="49"/>
      <c r="F61" s="36"/>
      <c r="G61" s="37" t="s">
        <v>34</v>
      </c>
      <c r="H61" s="38"/>
      <c r="I61" s="39"/>
      <c r="J61" s="40">
        <f>SUM(E18,E27,E34,E39,E47,E57,J22,J31,J38,J44,J50,J57)</f>
        <v>636</v>
      </c>
    </row>
    <row r="62" spans="1:10" ht="15.75" customHeight="1">
      <c r="A62" s="49"/>
      <c r="F62" s="36"/>
    </row>
    <row r="63" spans="1:10" ht="15.75" customHeight="1">
      <c r="G63" s="41" t="s">
        <v>65</v>
      </c>
      <c r="H63" s="42"/>
    </row>
    <row r="64" spans="1:10">
      <c r="G64" s="43" t="str">
        <f>Table1146286[[#Headers],[HOME]]</f>
        <v>HOME</v>
      </c>
      <c r="H64" s="44">
        <f>Table1146286[[#Totals],[Actual Cost]]</f>
        <v>1210</v>
      </c>
    </row>
    <row r="65" spans="7:8">
      <c r="G65" s="45" t="str">
        <f>Table3216993[[#Headers],[TRANSPORTATION]]</f>
        <v>TRANSPORTATION</v>
      </c>
      <c r="H65" s="46">
        <f>Table3216993[[#Totals],[Actual Cost]]</f>
        <v>310</v>
      </c>
    </row>
    <row r="66" spans="7:8">
      <c r="G66" s="41" t="str">
        <f>Table4156387[[#Headers],[UTILITIES]]</f>
        <v>UTILITIES</v>
      </c>
      <c r="H66" s="42">
        <f>Table4156387[[#Totals],[Actual Cost]]</f>
        <v>160</v>
      </c>
    </row>
    <row r="67" spans="7:8">
      <c r="G67" s="43" t="str">
        <f>Table5196791[[#Headers],[FOOD]]</f>
        <v>FOOD</v>
      </c>
      <c r="H67" s="44">
        <f>Table5196791[[#Totals],[Actual Cost]]</f>
        <v>400</v>
      </c>
    </row>
    <row r="68" spans="7:8">
      <c r="G68" s="45" t="str">
        <f>Table6176589[[#Headers],[CONNECTIONS]]</f>
        <v>CONNECTIONS</v>
      </c>
      <c r="H68" s="46">
        <f>Table6176589[[#Totals],[Actual Cost]]</f>
        <v>150</v>
      </c>
    </row>
    <row r="69" spans="7:8">
      <c r="G69" s="41" t="str">
        <f>Table7247296[[#Headers],[PERSONAL CARE]]</f>
        <v>PERSONAL CARE</v>
      </c>
      <c r="H69" s="42">
        <f>Table7247296[[#Totals],[Actual Cost]]</f>
        <v>89</v>
      </c>
    </row>
    <row r="70" spans="7:8">
      <c r="G70" s="43" t="str">
        <f>Table2257397[[#Headers],[ENTERTAINMENT]]</f>
        <v>ENTERTAINMENT</v>
      </c>
      <c r="H70" s="44">
        <f>Table2257397[[#Totals],[Actual Cost]]</f>
        <v>170</v>
      </c>
    </row>
    <row r="71" spans="7:8">
      <c r="G71" s="45" t="str">
        <f>Table8227094[[#Headers],[LOANS]]</f>
        <v>LOANS</v>
      </c>
      <c r="H71" s="46">
        <f>Table8227094[[#Totals],[Actual Cost]]</f>
        <v>500</v>
      </c>
    </row>
    <row r="72" spans="7:8">
      <c r="G72" s="41" t="str">
        <f>Table9206892[[#Headers],[TAXES]]</f>
        <v>TAXES</v>
      </c>
      <c r="H72" s="42">
        <f>Table9206892[[#Totals],[Actual Cost]]</f>
        <v>25</v>
      </c>
    </row>
    <row r="73" spans="7:8">
      <c r="G73" s="43" t="str">
        <f>Table10237195[[#Headers],[SAVINGS OR INVESTMENTS]]</f>
        <v>SAVINGS OR INVESTMENTS</v>
      </c>
      <c r="H73" s="44">
        <f>Table10237195[[#Totals],[Actual Cost]]</f>
        <v>250</v>
      </c>
    </row>
    <row r="74" spans="7:8">
      <c r="G74" s="45" t="str">
        <f>Table11186690[[#Headers],[MEDICAL]]</f>
        <v>MEDICAL</v>
      </c>
      <c r="H74" s="46">
        <f>Table11186690[[#Totals],[Actual Cost]]</f>
        <v>50</v>
      </c>
    </row>
    <row r="75" spans="7:8">
      <c r="G75" s="41" t="str">
        <f>Table12166488[[#Headers],[MISC]]</f>
        <v>MISC</v>
      </c>
      <c r="H75" s="42">
        <f>Table12166488[[#Totals],[Actual Cost]]</f>
        <v>50</v>
      </c>
    </row>
    <row r="76" spans="7:8">
      <c r="G76" s="43" t="s">
        <v>35</v>
      </c>
      <c r="H76" s="44">
        <f>SUM(H64:H75)</f>
        <v>3364</v>
      </c>
    </row>
  </sheetData>
  <mergeCells count="27">
    <mergeCell ref="B2:J2"/>
    <mergeCell ref="B3:D3"/>
    <mergeCell ref="B4:B7"/>
    <mergeCell ref="C4:D4"/>
    <mergeCell ref="G4:I6"/>
    <mergeCell ref="J4:J6"/>
    <mergeCell ref="C6:D6"/>
    <mergeCell ref="C7:D7"/>
    <mergeCell ref="G7:I8"/>
    <mergeCell ref="J7:J8"/>
    <mergeCell ref="G39:J39"/>
    <mergeCell ref="B8:B11"/>
    <mergeCell ref="C8:D8"/>
    <mergeCell ref="G9:I10"/>
    <mergeCell ref="J9:J10"/>
    <mergeCell ref="C10:D10"/>
    <mergeCell ref="C11:D11"/>
    <mergeCell ref="B19:E19"/>
    <mergeCell ref="G23:J23"/>
    <mergeCell ref="B28:E28"/>
    <mergeCell ref="G32:J32"/>
    <mergeCell ref="B35:E35"/>
    <mergeCell ref="B40:E40"/>
    <mergeCell ref="G45:J45"/>
    <mergeCell ref="B48:E48"/>
    <mergeCell ref="G51:J51"/>
    <mergeCell ref="G58:J58"/>
  </mergeCells>
  <conditionalFormatting sqref="J13:J22 E42:E47 E30:E34 E14:E18 E21:E27 E37:E39 E50:E57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J76"/>
  <sheetViews>
    <sheetView showGridLines="0" workbookViewId="0">
      <selection activeCell="K6" sqref="K6"/>
    </sheetView>
  </sheetViews>
  <sheetFormatPr baseColWidth="10" defaultColWidth="8.83203125" defaultRowHeight="13" x14ac:dyDescent="0"/>
  <cols>
    <col min="1" max="1" width="1.6640625" style="35" customWidth="1"/>
    <col min="2" max="2" width="28.33203125" style="35" bestFit="1" customWidth="1"/>
    <col min="3" max="3" width="17.1640625" style="35" bestFit="1" customWidth="1"/>
    <col min="4" max="4" width="14" style="35" bestFit="1" customWidth="1"/>
    <col min="5" max="5" width="12.83203125" style="35" bestFit="1" customWidth="1"/>
    <col min="6" max="6" width="2.83203125" style="35" customWidth="1"/>
    <col min="7" max="7" width="30.33203125" style="35" bestFit="1" customWidth="1"/>
    <col min="8" max="8" width="17.1640625" style="35" bestFit="1" customWidth="1"/>
    <col min="9" max="9" width="14" style="35" bestFit="1" customWidth="1"/>
    <col min="10" max="10" width="12.83203125" style="35" bestFit="1" customWidth="1"/>
    <col min="11" max="16384" width="8.83203125" style="35"/>
  </cols>
  <sheetData>
    <row r="1" spans="1:10" ht="8" customHeight="1">
      <c r="A1" s="47"/>
      <c r="B1" s="48"/>
      <c r="C1" s="48"/>
      <c r="D1" s="48"/>
      <c r="E1" s="48"/>
      <c r="F1" s="48"/>
      <c r="G1" s="48"/>
      <c r="H1" s="48"/>
      <c r="I1" s="48"/>
      <c r="J1" s="49"/>
    </row>
    <row r="2" spans="1:10" ht="52" customHeight="1">
      <c r="A2" s="47"/>
      <c r="B2" s="68" t="s">
        <v>85</v>
      </c>
      <c r="C2" s="68"/>
      <c r="D2" s="68"/>
      <c r="E2" s="68"/>
      <c r="F2" s="68"/>
      <c r="G2" s="68"/>
      <c r="H2" s="68"/>
      <c r="I2" s="68"/>
      <c r="J2" s="68"/>
    </row>
    <row r="3" spans="1:10" ht="8" customHeight="1">
      <c r="A3" s="49"/>
      <c r="B3" s="69"/>
      <c r="C3" s="69"/>
      <c r="D3" s="69"/>
      <c r="E3" s="50"/>
      <c r="F3" s="13"/>
      <c r="G3" s="50"/>
      <c r="H3" s="51"/>
      <c r="I3" s="52"/>
      <c r="J3" s="53"/>
    </row>
    <row r="4" spans="1:10" ht="16" customHeight="1">
      <c r="A4" s="49"/>
      <c r="B4" s="63" t="s">
        <v>66</v>
      </c>
      <c r="C4" s="54" t="s">
        <v>3</v>
      </c>
      <c r="D4" s="55"/>
      <c r="E4" s="12">
        <v>2000</v>
      </c>
      <c r="F4" s="13"/>
      <c r="G4" s="59" t="s">
        <v>99</v>
      </c>
      <c r="H4" s="59"/>
      <c r="I4" s="59"/>
      <c r="J4" s="60">
        <f>E7-J59</f>
        <v>-1025</v>
      </c>
    </row>
    <row r="5" spans="1:10" ht="16" customHeight="1">
      <c r="A5" s="49"/>
      <c r="B5" s="64"/>
      <c r="C5" s="14" t="s">
        <v>67</v>
      </c>
      <c r="D5" s="15"/>
      <c r="E5" s="12">
        <v>1000</v>
      </c>
      <c r="F5" s="13"/>
      <c r="G5" s="59"/>
      <c r="H5" s="59"/>
      <c r="I5" s="59"/>
      <c r="J5" s="60"/>
    </row>
    <row r="6" spans="1:10" ht="16" customHeight="1">
      <c r="A6" s="49"/>
      <c r="B6" s="64"/>
      <c r="C6" s="54" t="s">
        <v>64</v>
      </c>
      <c r="D6" s="55"/>
      <c r="E6" s="12">
        <v>250</v>
      </c>
      <c r="F6" s="13"/>
      <c r="G6" s="59"/>
      <c r="H6" s="59"/>
      <c r="I6" s="59"/>
      <c r="J6" s="60"/>
    </row>
    <row r="7" spans="1:10" ht="16" customHeight="1">
      <c r="A7" s="49"/>
      <c r="B7" s="65"/>
      <c r="C7" s="61" t="s">
        <v>18</v>
      </c>
      <c r="D7" s="62"/>
      <c r="E7" s="16">
        <f>SUM(E4:E6)</f>
        <v>3250</v>
      </c>
      <c r="F7" s="13"/>
      <c r="G7" s="59" t="s">
        <v>100</v>
      </c>
      <c r="H7" s="59"/>
      <c r="I7" s="59"/>
      <c r="J7" s="60">
        <f>E11-J60</f>
        <v>236</v>
      </c>
    </row>
    <row r="8" spans="1:10" ht="16" customHeight="1">
      <c r="A8" s="49"/>
      <c r="B8" s="63" t="s">
        <v>32</v>
      </c>
      <c r="C8" s="54" t="s">
        <v>3</v>
      </c>
      <c r="D8" s="55"/>
      <c r="E8" s="12">
        <v>2500</v>
      </c>
      <c r="F8" s="13"/>
      <c r="G8" s="59"/>
      <c r="H8" s="59"/>
      <c r="I8" s="59"/>
      <c r="J8" s="60"/>
    </row>
    <row r="9" spans="1:10" ht="16" customHeight="1">
      <c r="A9" s="49"/>
      <c r="B9" s="64"/>
      <c r="C9" s="14" t="s">
        <v>67</v>
      </c>
      <c r="D9" s="15"/>
      <c r="E9" s="12">
        <v>1000</v>
      </c>
      <c r="F9" s="13"/>
      <c r="G9" s="59" t="s">
        <v>101</v>
      </c>
      <c r="H9" s="59"/>
      <c r="I9" s="59"/>
      <c r="J9" s="60">
        <f>J7-J4</f>
        <v>1261</v>
      </c>
    </row>
    <row r="10" spans="1:10" ht="16" customHeight="1">
      <c r="A10" s="49"/>
      <c r="B10" s="64"/>
      <c r="C10" s="54" t="s">
        <v>64</v>
      </c>
      <c r="D10" s="55"/>
      <c r="E10" s="12">
        <v>500</v>
      </c>
      <c r="F10" s="13"/>
      <c r="G10" s="59"/>
      <c r="H10" s="59"/>
      <c r="I10" s="59"/>
      <c r="J10" s="60"/>
    </row>
    <row r="11" spans="1:10" ht="16" customHeight="1">
      <c r="A11" s="49"/>
      <c r="B11" s="65"/>
      <c r="C11" s="61" t="s">
        <v>18</v>
      </c>
      <c r="D11" s="62"/>
      <c r="E11" s="16">
        <f>SUM(E8:E10)</f>
        <v>4000</v>
      </c>
      <c r="F11" s="13"/>
      <c r="G11" s="17"/>
      <c r="H11" s="17"/>
      <c r="I11" s="17"/>
      <c r="J11" s="18"/>
    </row>
    <row r="12" spans="1:10" ht="16" customHeight="1">
      <c r="A12" s="49"/>
      <c r="B12" s="19"/>
      <c r="C12" s="19"/>
      <c r="D12" s="20"/>
      <c r="E12" s="21"/>
      <c r="F12" s="13"/>
      <c r="G12" s="22" t="s">
        <v>25</v>
      </c>
      <c r="H12" s="23" t="s">
        <v>0</v>
      </c>
      <c r="I12" s="23" t="s">
        <v>1</v>
      </c>
      <c r="J12" s="24" t="s">
        <v>2</v>
      </c>
    </row>
    <row r="13" spans="1:10" ht="16" customHeight="1">
      <c r="A13" s="49"/>
      <c r="B13" s="22" t="s">
        <v>37</v>
      </c>
      <c r="C13" s="23" t="s">
        <v>0</v>
      </c>
      <c r="D13" s="23" t="s">
        <v>1</v>
      </c>
      <c r="E13" s="24" t="s">
        <v>2</v>
      </c>
      <c r="F13" s="25"/>
      <c r="G13" s="26" t="s">
        <v>40</v>
      </c>
      <c r="H13" s="27">
        <v>20</v>
      </c>
      <c r="I13" s="27">
        <v>50</v>
      </c>
      <c r="J13" s="28">
        <f>Table2257397109[Projected Cost]-Table2257397109[Actual Cost]</f>
        <v>-30</v>
      </c>
    </row>
    <row r="14" spans="1:10" ht="15.75" customHeight="1">
      <c r="A14" s="49"/>
      <c r="B14" s="26" t="s">
        <v>4</v>
      </c>
      <c r="C14" s="27">
        <v>1000</v>
      </c>
      <c r="D14" s="27">
        <v>1010</v>
      </c>
      <c r="E14" s="28">
        <f>Table114628698[Projected Cost]-Table114628698[Actual Cost]</f>
        <v>-10</v>
      </c>
      <c r="F14" s="29"/>
      <c r="G14" s="30" t="s">
        <v>41</v>
      </c>
      <c r="H14" s="31"/>
      <c r="I14" s="31"/>
      <c r="J14" s="32">
        <f>Table2257397109[Projected Cost]-Table2257397109[Actual Cost]</f>
        <v>0</v>
      </c>
    </row>
    <row r="15" spans="1:10" ht="15.75" customHeight="1">
      <c r="A15" s="49"/>
      <c r="B15" s="30" t="s">
        <v>6</v>
      </c>
      <c r="C15" s="31">
        <v>100</v>
      </c>
      <c r="D15" s="31">
        <v>200</v>
      </c>
      <c r="E15" s="32">
        <f>Table114628698[Projected Cost]-Table114628698[Actual Cost]</f>
        <v>-100</v>
      </c>
      <c r="F15" s="29"/>
      <c r="G15" s="26" t="s">
        <v>13</v>
      </c>
      <c r="H15" s="27">
        <v>25</v>
      </c>
      <c r="I15" s="27">
        <v>45</v>
      </c>
      <c r="J15" s="28">
        <f>Table2257397109[Projected Cost]-Table2257397109[Actual Cost]</f>
        <v>-20</v>
      </c>
    </row>
    <row r="16" spans="1:10" ht="15.75" customHeight="1">
      <c r="A16" s="49"/>
      <c r="B16" s="26" t="s">
        <v>7</v>
      </c>
      <c r="C16" s="27"/>
      <c r="D16" s="27"/>
      <c r="E16" s="28">
        <f>Table114628698[Projected Cost]-Table114628698[Actual Cost]</f>
        <v>0</v>
      </c>
      <c r="F16" s="29"/>
      <c r="G16" s="30" t="s">
        <v>14</v>
      </c>
      <c r="H16" s="31"/>
      <c r="I16" s="31"/>
      <c r="J16" s="32">
        <f>Table2257397109[Projected Cost]-Table2257397109[Actual Cost]</f>
        <v>0</v>
      </c>
    </row>
    <row r="17" spans="1:10" ht="15.75" customHeight="1">
      <c r="A17" s="49"/>
      <c r="B17" s="30" t="s">
        <v>8</v>
      </c>
      <c r="C17" s="31"/>
      <c r="D17" s="31"/>
      <c r="E17" s="32">
        <f>Table114628698[Projected Cost]-Table114628698[Actual Cost]</f>
        <v>0</v>
      </c>
      <c r="F17" s="29"/>
      <c r="G17" s="26" t="s">
        <v>21</v>
      </c>
      <c r="H17" s="27"/>
      <c r="I17" s="27"/>
      <c r="J17" s="28">
        <f>Table2257397109[Projected Cost]-Table2257397109[Actual Cost]</f>
        <v>0</v>
      </c>
    </row>
    <row r="18" spans="1:10" ht="15.75" customHeight="1">
      <c r="A18" s="49"/>
      <c r="B18" s="22" t="s">
        <v>35</v>
      </c>
      <c r="C18" s="31">
        <f>SUBTOTAL(109,Table114628698[Projected Cost])</f>
        <v>1100</v>
      </c>
      <c r="D18" s="31">
        <f>SUBTOTAL(109,Table114628698[Actual Cost])</f>
        <v>1210</v>
      </c>
      <c r="E18" s="33">
        <f>SUBTOTAL(109,Table114628698[Difference])</f>
        <v>-110</v>
      </c>
      <c r="F18" s="29"/>
      <c r="G18" s="30" t="s">
        <v>42</v>
      </c>
      <c r="H18" s="31">
        <v>50</v>
      </c>
      <c r="I18" s="31">
        <v>75</v>
      </c>
      <c r="J18" s="32">
        <f>Table2257397109[Projected Cost]-Table2257397109[Actual Cost]</f>
        <v>-25</v>
      </c>
    </row>
    <row r="19" spans="1:10" ht="15.75" customHeight="1">
      <c r="A19" s="49"/>
      <c r="B19" s="56"/>
      <c r="C19" s="56"/>
      <c r="D19" s="56"/>
      <c r="E19" s="56"/>
      <c r="F19" s="29"/>
      <c r="G19" s="26" t="s">
        <v>47</v>
      </c>
      <c r="H19" s="27"/>
      <c r="I19" s="27"/>
      <c r="J19" s="28">
        <f>Table2257397109[Projected Cost]-Table2257397109[Actual Cost]</f>
        <v>0</v>
      </c>
    </row>
    <row r="20" spans="1:10" ht="15.75" customHeight="1">
      <c r="A20" s="49"/>
      <c r="B20" s="22" t="s">
        <v>27</v>
      </c>
      <c r="C20" s="23" t="s">
        <v>0</v>
      </c>
      <c r="D20" s="23" t="s">
        <v>1</v>
      </c>
      <c r="E20" s="24" t="s">
        <v>2</v>
      </c>
      <c r="F20" s="29"/>
      <c r="G20" s="30" t="s">
        <v>8</v>
      </c>
      <c r="H20" s="31"/>
      <c r="I20" s="31"/>
      <c r="J20" s="32">
        <f>Table2257397109[Projected Cost]-Table2257397109[Actual Cost]</f>
        <v>0</v>
      </c>
    </row>
    <row r="21" spans="1:10" ht="15.75" customHeight="1">
      <c r="A21" s="49"/>
      <c r="B21" s="26" t="s">
        <v>20</v>
      </c>
      <c r="C21" s="27">
        <v>250</v>
      </c>
      <c r="D21" s="27">
        <v>250</v>
      </c>
      <c r="E21" s="28">
        <f>Table3216993105[Projected Cost]-Table3216993105[Actual Cost]</f>
        <v>0</v>
      </c>
      <c r="F21" s="29"/>
      <c r="G21" s="26" t="s">
        <v>8</v>
      </c>
      <c r="H21" s="27"/>
      <c r="I21" s="27"/>
      <c r="J21" s="28">
        <f>Table2257397109[Projected Cost]-Table2257397109[Actual Cost]</f>
        <v>0</v>
      </c>
    </row>
    <row r="22" spans="1:10" ht="15.75" customHeight="1">
      <c r="A22" s="49"/>
      <c r="B22" s="30" t="s">
        <v>51</v>
      </c>
      <c r="C22" s="31"/>
      <c r="D22" s="31"/>
      <c r="E22" s="32">
        <f>Table3216993105[Projected Cost]-Table3216993105[Actual Cost]</f>
        <v>0</v>
      </c>
      <c r="F22" s="29"/>
      <c r="G22" s="22" t="s">
        <v>35</v>
      </c>
      <c r="H22" s="34">
        <f>SUBTOTAL(109,Table2257397109[Projected Cost])</f>
        <v>95</v>
      </c>
      <c r="I22" s="31">
        <f>SUBTOTAL(109,Table2257397109[Actual Cost])</f>
        <v>170</v>
      </c>
      <c r="J22" s="33">
        <f>SUBTOTAL(109,Table2257397109[Difference])</f>
        <v>-75</v>
      </c>
    </row>
    <row r="23" spans="1:10" ht="15.75" customHeight="1">
      <c r="A23" s="49"/>
      <c r="B23" s="26" t="s">
        <v>9</v>
      </c>
      <c r="C23" s="27"/>
      <c r="D23" s="27"/>
      <c r="E23" s="28">
        <f>Table3216993105[Projected Cost]-Table3216993105[Actual Cost]</f>
        <v>0</v>
      </c>
      <c r="F23" s="29"/>
      <c r="G23" s="67"/>
      <c r="H23" s="67"/>
      <c r="I23" s="67"/>
      <c r="J23" s="67"/>
    </row>
    <row r="24" spans="1:10" ht="15.75" customHeight="1">
      <c r="A24" s="49"/>
      <c r="B24" s="30" t="s">
        <v>5</v>
      </c>
      <c r="C24" s="31">
        <v>50</v>
      </c>
      <c r="D24" s="31">
        <v>60</v>
      </c>
      <c r="E24" s="32">
        <f>Table3216993105[Projected Cost]-Table3216993105[Actual Cost]</f>
        <v>-10</v>
      </c>
      <c r="F24" s="29"/>
      <c r="G24" s="22" t="s">
        <v>26</v>
      </c>
      <c r="H24" s="23" t="s">
        <v>0</v>
      </c>
      <c r="I24" s="23" t="s">
        <v>1</v>
      </c>
      <c r="J24" s="24" t="s">
        <v>2</v>
      </c>
    </row>
    <row r="25" spans="1:10" ht="15.75" customHeight="1">
      <c r="A25" s="49"/>
      <c r="B25" s="26" t="s">
        <v>10</v>
      </c>
      <c r="C25" s="27"/>
      <c r="D25" s="27"/>
      <c r="E25" s="28">
        <f>Table3216993105[Projected Cost]-Table3216993105[Actual Cost]</f>
        <v>0</v>
      </c>
      <c r="F25" s="29"/>
      <c r="G25" s="26" t="s">
        <v>43</v>
      </c>
      <c r="H25" s="27">
        <v>400</v>
      </c>
      <c r="I25" s="27">
        <v>400</v>
      </c>
      <c r="J25" s="28">
        <f>Table8227094106[Projected Cost]-Table8227094106[Actual Cost]</f>
        <v>0</v>
      </c>
    </row>
    <row r="26" spans="1:10" ht="15.75" customHeight="1">
      <c r="A26" s="49"/>
      <c r="B26" s="30" t="s">
        <v>8</v>
      </c>
      <c r="C26" s="31"/>
      <c r="D26" s="31"/>
      <c r="E26" s="32">
        <f>Table3216993105[Projected Cost]-Table3216993105[Actual Cost]</f>
        <v>0</v>
      </c>
      <c r="F26" s="29"/>
      <c r="G26" s="30" t="s">
        <v>44</v>
      </c>
      <c r="H26" s="31"/>
      <c r="I26" s="31"/>
      <c r="J26" s="32">
        <f>Table8227094106[Projected Cost]-Table8227094106[Actual Cost]</f>
        <v>0</v>
      </c>
    </row>
    <row r="27" spans="1:10" ht="15.75" customHeight="1">
      <c r="A27" s="49"/>
      <c r="B27" s="22" t="s">
        <v>35</v>
      </c>
      <c r="C27" s="31">
        <f>SUBTOTAL(109,Table3216993105[Projected Cost])</f>
        <v>300</v>
      </c>
      <c r="D27" s="31">
        <f>SUBTOTAL(109,Table3216993105[Actual Cost])</f>
        <v>310</v>
      </c>
      <c r="E27" s="33">
        <f>SUBTOTAL(109,Table3216993105[Difference])</f>
        <v>-10</v>
      </c>
      <c r="F27" s="29"/>
      <c r="G27" s="26" t="s">
        <v>22</v>
      </c>
      <c r="H27" s="27"/>
      <c r="I27" s="27"/>
      <c r="J27" s="28">
        <f>Table8227094106[Projected Cost]-Table8227094106[Actual Cost]</f>
        <v>0</v>
      </c>
    </row>
    <row r="28" spans="1:10" ht="15.75" customHeight="1">
      <c r="A28" s="49"/>
      <c r="B28" s="56"/>
      <c r="C28" s="56"/>
      <c r="D28" s="56"/>
      <c r="E28" s="56"/>
      <c r="F28" s="29"/>
      <c r="G28" s="30" t="s">
        <v>22</v>
      </c>
      <c r="H28" s="31"/>
      <c r="I28" s="31"/>
      <c r="J28" s="32">
        <f>Table8227094106[Projected Cost]-Table8227094106[Actual Cost]</f>
        <v>0</v>
      </c>
    </row>
    <row r="29" spans="1:10" ht="15.75" customHeight="1">
      <c r="A29" s="49"/>
      <c r="B29" s="22" t="s">
        <v>36</v>
      </c>
      <c r="C29" s="23" t="s">
        <v>0</v>
      </c>
      <c r="D29" s="23" t="s">
        <v>1</v>
      </c>
      <c r="E29" s="24" t="s">
        <v>2</v>
      </c>
      <c r="F29" s="29"/>
      <c r="G29" s="26" t="s">
        <v>22</v>
      </c>
      <c r="H29" s="27">
        <v>100</v>
      </c>
      <c r="I29" s="27">
        <v>100</v>
      </c>
      <c r="J29" s="28">
        <f>Table8227094106[Projected Cost]-Table8227094106[Actual Cost]</f>
        <v>0</v>
      </c>
    </row>
    <row r="30" spans="1:10" ht="15.75" customHeight="1">
      <c r="A30" s="49"/>
      <c r="B30" s="26" t="s">
        <v>5</v>
      </c>
      <c r="C30" s="27">
        <v>50</v>
      </c>
      <c r="D30" s="27">
        <v>50</v>
      </c>
      <c r="E30" s="28">
        <f>Table415638799[Projected Cost]-Table415638799[Actual Cost]</f>
        <v>0</v>
      </c>
      <c r="F30" s="29"/>
      <c r="G30" s="30" t="s">
        <v>8</v>
      </c>
      <c r="H30" s="31"/>
      <c r="I30" s="31"/>
      <c r="J30" s="32">
        <f>Table8227094106[Projected Cost]-Table8227094106[Actual Cost]</f>
        <v>0</v>
      </c>
    </row>
    <row r="31" spans="1:10" ht="15.75" customHeight="1">
      <c r="A31" s="49"/>
      <c r="B31" s="30" t="s">
        <v>38</v>
      </c>
      <c r="C31" s="31">
        <v>100</v>
      </c>
      <c r="D31" s="31">
        <v>110</v>
      </c>
      <c r="E31" s="32">
        <f>Table415638799[Projected Cost]-Table415638799[Actual Cost]</f>
        <v>-10</v>
      </c>
      <c r="F31" s="29"/>
      <c r="G31" s="22" t="s">
        <v>35</v>
      </c>
      <c r="H31" s="31">
        <f>SUBTOTAL(109,Table8227094106[Projected Cost])</f>
        <v>500</v>
      </c>
      <c r="I31" s="31">
        <f>SUBTOTAL(109,Table8227094106[Actual Cost])</f>
        <v>500</v>
      </c>
      <c r="J31" s="33">
        <f>SUBTOTAL(109,Table8227094106[Difference])</f>
        <v>0</v>
      </c>
    </row>
    <row r="32" spans="1:10" ht="15.75" customHeight="1">
      <c r="A32" s="49"/>
      <c r="B32" s="26" t="s">
        <v>39</v>
      </c>
      <c r="C32" s="27"/>
      <c r="D32" s="27"/>
      <c r="E32" s="28">
        <f>Table415638799[Projected Cost]-Table415638799[Actual Cost]</f>
        <v>0</v>
      </c>
      <c r="F32" s="29"/>
      <c r="G32" s="56"/>
      <c r="H32" s="56"/>
      <c r="I32" s="56"/>
      <c r="J32" s="56"/>
    </row>
    <row r="33" spans="1:10" ht="15.75" customHeight="1">
      <c r="A33" s="49"/>
      <c r="B33" s="30" t="s">
        <v>19</v>
      </c>
      <c r="C33" s="31"/>
      <c r="D33" s="31"/>
      <c r="E33" s="32">
        <f>Table415638799[Projected Cost]-Table415638799[Actual Cost]</f>
        <v>0</v>
      </c>
      <c r="F33" s="29"/>
      <c r="G33" s="22" t="s">
        <v>28</v>
      </c>
      <c r="H33" s="23" t="s">
        <v>0</v>
      </c>
      <c r="I33" s="23" t="s">
        <v>1</v>
      </c>
      <c r="J33" s="24" t="s">
        <v>2</v>
      </c>
    </row>
    <row r="34" spans="1:10" ht="15.75" customHeight="1">
      <c r="A34" s="49"/>
      <c r="B34" s="22" t="s">
        <v>35</v>
      </c>
      <c r="C34" s="31">
        <f>SUBTOTAL(109,Table415638799[Projected Cost])</f>
        <v>150</v>
      </c>
      <c r="D34" s="31">
        <f>SUBTOTAL(109,Table415638799[Actual Cost])</f>
        <v>160</v>
      </c>
      <c r="E34" s="33">
        <f>SUBTOTAL(109,Table415638799[Difference])</f>
        <v>-10</v>
      </c>
      <c r="F34" s="29"/>
      <c r="G34" s="26" t="s">
        <v>15</v>
      </c>
      <c r="H34" s="27">
        <v>25</v>
      </c>
      <c r="I34" s="27">
        <v>25</v>
      </c>
      <c r="J34" s="28">
        <f>Table9206892104[Projected Cost]-Table9206892104[Actual Cost]</f>
        <v>0</v>
      </c>
    </row>
    <row r="35" spans="1:10" ht="15.75" customHeight="1">
      <c r="A35" s="49"/>
      <c r="B35" s="56"/>
      <c r="C35" s="56"/>
      <c r="D35" s="56"/>
      <c r="E35" s="56"/>
      <c r="F35" s="29"/>
      <c r="G35" s="30" t="s">
        <v>16</v>
      </c>
      <c r="H35" s="31"/>
      <c r="I35" s="31"/>
      <c r="J35" s="32">
        <f>Table9206892104[Projected Cost]-Table9206892104[Actual Cost]</f>
        <v>0</v>
      </c>
    </row>
    <row r="36" spans="1:10" ht="15.75" customHeight="1">
      <c r="A36" s="49"/>
      <c r="B36" s="22" t="s">
        <v>29</v>
      </c>
      <c r="C36" s="23" t="s">
        <v>0</v>
      </c>
      <c r="D36" s="23" t="s">
        <v>1</v>
      </c>
      <c r="E36" s="24" t="s">
        <v>2</v>
      </c>
      <c r="F36" s="29"/>
      <c r="G36" s="26" t="s">
        <v>17</v>
      </c>
      <c r="H36" s="27"/>
      <c r="I36" s="27"/>
      <c r="J36" s="28">
        <f>Table9206892104[Projected Cost]-Table9206892104[Actual Cost]</f>
        <v>0</v>
      </c>
    </row>
    <row r="37" spans="1:10" ht="15.75" customHeight="1">
      <c r="A37" s="49"/>
      <c r="B37" s="26" t="s">
        <v>11</v>
      </c>
      <c r="C37" s="27">
        <v>500</v>
      </c>
      <c r="D37" s="27">
        <v>400</v>
      </c>
      <c r="E37" s="28">
        <f>Table5196791103[Projected Cost]-Table5196791103[Actual Cost]</f>
        <v>100</v>
      </c>
      <c r="F37" s="29"/>
      <c r="G37" s="30" t="s">
        <v>8</v>
      </c>
      <c r="H37" s="31"/>
      <c r="I37" s="31"/>
      <c r="J37" s="32">
        <f>Table9206892104[Projected Cost]-Table9206892104[Actual Cost]</f>
        <v>0</v>
      </c>
    </row>
    <row r="38" spans="1:10" ht="15.75" customHeight="1">
      <c r="A38" s="49"/>
      <c r="B38" s="30" t="s">
        <v>8</v>
      </c>
      <c r="C38" s="31"/>
      <c r="D38" s="31"/>
      <c r="E38" s="32">
        <f>Table5196791103[Projected Cost]-Table5196791103[Actual Cost]</f>
        <v>0</v>
      </c>
      <c r="F38" s="29"/>
      <c r="G38" s="22" t="s">
        <v>35</v>
      </c>
      <c r="H38" s="31">
        <f>SUBTOTAL(109,Table9206892104[Projected Cost])</f>
        <v>25</v>
      </c>
      <c r="I38" s="31">
        <f>SUBTOTAL(109,Table9206892104[Actual Cost])</f>
        <v>25</v>
      </c>
      <c r="J38" s="33">
        <f>SUBTOTAL(109,Table9206892104[Difference])</f>
        <v>0</v>
      </c>
    </row>
    <row r="39" spans="1:10" ht="15.75" customHeight="1">
      <c r="A39" s="49"/>
      <c r="B39" s="22" t="s">
        <v>35</v>
      </c>
      <c r="C39" s="31">
        <f>SUBTOTAL(109,Table5196791103[Projected Cost])</f>
        <v>500</v>
      </c>
      <c r="D39" s="31">
        <f>SUBTOTAL(109,Table5196791103[Actual Cost])</f>
        <v>400</v>
      </c>
      <c r="E39" s="33">
        <f>SUBTOTAL(109,Table5196791103[Difference])</f>
        <v>100</v>
      </c>
      <c r="F39" s="29"/>
      <c r="G39" s="56"/>
      <c r="H39" s="56"/>
      <c r="I39" s="56"/>
      <c r="J39" s="56"/>
    </row>
    <row r="40" spans="1:10" ht="15.75" customHeight="1">
      <c r="A40" s="49"/>
      <c r="B40" s="56"/>
      <c r="C40" s="56"/>
      <c r="D40" s="56"/>
      <c r="E40" s="56"/>
      <c r="F40" s="29"/>
      <c r="G40" s="22" t="s">
        <v>30</v>
      </c>
      <c r="H40" s="23" t="s">
        <v>0</v>
      </c>
      <c r="I40" s="23" t="s">
        <v>1</v>
      </c>
      <c r="J40" s="24" t="s">
        <v>2</v>
      </c>
    </row>
    <row r="41" spans="1:10" ht="15.75" customHeight="1">
      <c r="A41" s="49"/>
      <c r="B41" s="22" t="s">
        <v>48</v>
      </c>
      <c r="C41" s="23" t="s">
        <v>0</v>
      </c>
      <c r="D41" s="23" t="s">
        <v>1</v>
      </c>
      <c r="E41" s="24" t="s">
        <v>2</v>
      </c>
      <c r="F41" s="29"/>
      <c r="G41" s="26" t="s">
        <v>23</v>
      </c>
      <c r="H41" s="27"/>
      <c r="I41" s="27"/>
      <c r="J41" s="28">
        <f>Table10237195107[Projected Cost]-Table10237195107[Actual Cost]</f>
        <v>0</v>
      </c>
    </row>
    <row r="42" spans="1:10" ht="15.75" customHeight="1">
      <c r="A42" s="49"/>
      <c r="B42" s="26" t="s">
        <v>45</v>
      </c>
      <c r="C42" s="27">
        <v>50</v>
      </c>
      <c r="D42" s="27">
        <v>50</v>
      </c>
      <c r="E42" s="28">
        <f>Table6176589101[Projected Cost]-Table6176589101[Actual Cost]</f>
        <v>0</v>
      </c>
      <c r="F42" s="29"/>
      <c r="G42" s="30" t="s">
        <v>24</v>
      </c>
      <c r="H42" s="31"/>
      <c r="I42" s="31"/>
      <c r="J42" s="32">
        <f>Table10237195107[Projected Cost]-Table10237195107[Actual Cost]</f>
        <v>0</v>
      </c>
    </row>
    <row r="43" spans="1:10" ht="15.75" customHeight="1">
      <c r="A43" s="49"/>
      <c r="B43" s="30" t="s">
        <v>46</v>
      </c>
      <c r="C43" s="31"/>
      <c r="D43" s="31"/>
      <c r="E43" s="32">
        <f>Table6176589101[Projected Cost]-Table6176589101[Actual Cost]</f>
        <v>0</v>
      </c>
      <c r="F43" s="29"/>
      <c r="G43" s="26" t="s">
        <v>63</v>
      </c>
      <c r="H43" s="27">
        <v>1000</v>
      </c>
      <c r="I43" s="27">
        <v>250</v>
      </c>
      <c r="J43" s="28">
        <f>Table10237195107[Projected Cost]-Table10237195107[Actual Cost]</f>
        <v>750</v>
      </c>
    </row>
    <row r="44" spans="1:10" ht="15.75" customHeight="1">
      <c r="A44" s="49"/>
      <c r="B44" s="26" t="s">
        <v>49</v>
      </c>
      <c r="C44" s="27">
        <v>300</v>
      </c>
      <c r="D44" s="27">
        <v>400</v>
      </c>
      <c r="E44" s="28">
        <f>Table6176589101[Projected Cost]-Table6176589101[Actual Cost]</f>
        <v>-100</v>
      </c>
      <c r="F44" s="29"/>
      <c r="G44" s="22" t="s">
        <v>35</v>
      </c>
      <c r="H44" s="31">
        <f>SUBTOTAL(109,Table10237195107[Projected Cost])</f>
        <v>1000</v>
      </c>
      <c r="I44" s="31">
        <f>SUBTOTAL(109,Table10237195107[Actual Cost])</f>
        <v>250</v>
      </c>
      <c r="J44" s="33">
        <f>SUBTOTAL(109,Table10237195107[Difference])</f>
        <v>750</v>
      </c>
    </row>
    <row r="45" spans="1:10" ht="15.75" customHeight="1">
      <c r="A45" s="49"/>
      <c r="B45" s="30" t="s">
        <v>50</v>
      </c>
      <c r="C45" s="31">
        <v>50</v>
      </c>
      <c r="D45" s="31">
        <v>100</v>
      </c>
      <c r="E45" s="32">
        <f>Table6176589101[Projected Cost]-Table6176589101[Actual Cost]</f>
        <v>-50</v>
      </c>
      <c r="F45" s="29"/>
      <c r="G45" s="56"/>
      <c r="H45" s="56"/>
      <c r="I45" s="56"/>
      <c r="J45" s="56"/>
    </row>
    <row r="46" spans="1:10" ht="15.75" customHeight="1">
      <c r="A46" s="49"/>
      <c r="B46" s="26" t="s">
        <v>8</v>
      </c>
      <c r="C46" s="27"/>
      <c r="D46" s="27"/>
      <c r="E46" s="28">
        <f>Table6176589101[Projected Cost]-Table6176589101[Actual Cost]</f>
        <v>0</v>
      </c>
      <c r="F46" s="29"/>
      <c r="G46" s="22" t="s">
        <v>53</v>
      </c>
      <c r="H46" s="23" t="s">
        <v>0</v>
      </c>
      <c r="I46" s="23" t="s">
        <v>1</v>
      </c>
      <c r="J46" s="24" t="s">
        <v>2</v>
      </c>
    </row>
    <row r="47" spans="1:10" ht="15.75" customHeight="1">
      <c r="A47" s="49"/>
      <c r="B47" s="22" t="s">
        <v>35</v>
      </c>
      <c r="C47" s="31">
        <f>SUBTOTAL(109,Table6176589101[Projected Cost])</f>
        <v>400</v>
      </c>
      <c r="D47" s="31">
        <f>SUBTOTAL(109,Table6176589101[Actual Cost])</f>
        <v>550</v>
      </c>
      <c r="E47" s="33">
        <f>SUBTOTAL(109,Table6176589101[Difference])</f>
        <v>-150</v>
      </c>
      <c r="F47" s="29"/>
      <c r="G47" s="26" t="s">
        <v>9</v>
      </c>
      <c r="H47" s="27"/>
      <c r="I47" s="27"/>
      <c r="J47" s="28">
        <f>Table11186690102[Projected Cost]-Table11186690102[Actual Cost]</f>
        <v>0</v>
      </c>
    </row>
    <row r="48" spans="1:10" ht="15.75" customHeight="1">
      <c r="A48" s="49"/>
      <c r="B48" s="56"/>
      <c r="C48" s="56"/>
      <c r="D48" s="56"/>
      <c r="E48" s="56"/>
      <c r="F48" s="29"/>
      <c r="G48" s="30" t="s">
        <v>57</v>
      </c>
      <c r="H48" s="31"/>
      <c r="I48" s="31"/>
      <c r="J48" s="32">
        <f>Table11186690102[Projected Cost]-Table11186690102[Actual Cost]</f>
        <v>0</v>
      </c>
    </row>
    <row r="49" spans="1:10" ht="15.75" customHeight="1">
      <c r="A49" s="49"/>
      <c r="B49" s="22" t="s">
        <v>31</v>
      </c>
      <c r="C49" s="23" t="s">
        <v>0</v>
      </c>
      <c r="D49" s="23" t="s">
        <v>1</v>
      </c>
      <c r="E49" s="24" t="s">
        <v>2</v>
      </c>
      <c r="F49" s="29"/>
      <c r="G49" s="26" t="s">
        <v>58</v>
      </c>
      <c r="H49" s="27">
        <v>75</v>
      </c>
      <c r="I49" s="27">
        <v>50</v>
      </c>
      <c r="J49" s="28">
        <f>Table11186690102[Projected Cost]-Table11186690102[Actual Cost]</f>
        <v>25</v>
      </c>
    </row>
    <row r="50" spans="1:10" ht="15.75" customHeight="1">
      <c r="A50" s="49"/>
      <c r="B50" s="26" t="s">
        <v>55</v>
      </c>
      <c r="C50" s="27">
        <v>15</v>
      </c>
      <c r="D50" s="27">
        <v>25</v>
      </c>
      <c r="E50" s="28">
        <f>Table7247296108[Projected Cost]-Table7247296108[Actual Cost]</f>
        <v>-10</v>
      </c>
      <c r="F50" s="29"/>
      <c r="G50" s="22" t="s">
        <v>35</v>
      </c>
      <c r="H50" s="31">
        <f>SUBTOTAL(109,Table11186690102[Projected Cost])</f>
        <v>75</v>
      </c>
      <c r="I50" s="31">
        <f>SUBTOTAL(109,Table11186690102[Actual Cost])</f>
        <v>50</v>
      </c>
      <c r="J50" s="33">
        <f>SUBTOTAL(109,Table11186690102[Difference])</f>
        <v>25</v>
      </c>
    </row>
    <row r="51" spans="1:10" ht="15.75" customHeight="1">
      <c r="A51" s="49"/>
      <c r="B51" s="30" t="s">
        <v>56</v>
      </c>
      <c r="C51" s="31">
        <v>10</v>
      </c>
      <c r="D51" s="31">
        <v>20</v>
      </c>
      <c r="E51" s="32">
        <f>Table7247296108[Projected Cost]-Table7247296108[Actual Cost]</f>
        <v>-10</v>
      </c>
      <c r="F51" s="29"/>
      <c r="G51" s="56"/>
      <c r="H51" s="56"/>
      <c r="I51" s="56"/>
      <c r="J51" s="56"/>
    </row>
    <row r="52" spans="1:10" ht="15.75" customHeight="1">
      <c r="A52" s="49"/>
      <c r="B52" s="26" t="s">
        <v>12</v>
      </c>
      <c r="C52" s="27"/>
      <c r="D52" s="27"/>
      <c r="E52" s="28">
        <f>Table7247296108[Projected Cost]-Table7247296108[Actual Cost]</f>
        <v>0</v>
      </c>
      <c r="F52" s="29"/>
      <c r="G52" s="22" t="s">
        <v>59</v>
      </c>
      <c r="H52" s="23" t="s">
        <v>0</v>
      </c>
      <c r="I52" s="23" t="s">
        <v>1</v>
      </c>
      <c r="J52" s="24" t="s">
        <v>2</v>
      </c>
    </row>
    <row r="53" spans="1:10" ht="15.75" customHeight="1">
      <c r="A53" s="49"/>
      <c r="B53" s="30" t="s">
        <v>54</v>
      </c>
      <c r="C53" s="31">
        <v>25</v>
      </c>
      <c r="D53" s="31">
        <v>15</v>
      </c>
      <c r="E53" s="32">
        <f>Table7247296108[Projected Cost]-Table7247296108[Actual Cost]</f>
        <v>10</v>
      </c>
      <c r="F53" s="29"/>
      <c r="G53" s="26" t="s">
        <v>60</v>
      </c>
      <c r="H53" s="27">
        <v>50</v>
      </c>
      <c r="I53" s="27">
        <v>50</v>
      </c>
      <c r="J53" s="28">
        <f>Table12166488100[Projected Cost]-Table12166488100[Actual Cost]</f>
        <v>0</v>
      </c>
    </row>
    <row r="54" spans="1:10" ht="15.75" customHeight="1">
      <c r="A54" s="49"/>
      <c r="B54" s="26" t="s">
        <v>52</v>
      </c>
      <c r="C54" s="27">
        <v>30</v>
      </c>
      <c r="D54" s="27">
        <v>29</v>
      </c>
      <c r="E54" s="28">
        <f>Table7247296108[Projected Cost]-Table7247296108[Actual Cost]</f>
        <v>1</v>
      </c>
      <c r="F54" s="29"/>
      <c r="G54" s="30" t="s">
        <v>61</v>
      </c>
      <c r="H54" s="31"/>
      <c r="I54" s="31"/>
      <c r="J54" s="32">
        <f>Table12166488100[Projected Cost]-Table12166488100[Actual Cost]</f>
        <v>0</v>
      </c>
    </row>
    <row r="55" spans="1:10" ht="15.75" customHeight="1">
      <c r="A55" s="49"/>
      <c r="B55" s="30" t="s">
        <v>8</v>
      </c>
      <c r="C55" s="31"/>
      <c r="D55" s="31"/>
      <c r="E55" s="32">
        <f>Table7247296108[Projected Cost]-Table7247296108[Actual Cost]</f>
        <v>0</v>
      </c>
      <c r="F55" s="29"/>
      <c r="G55" s="26" t="s">
        <v>62</v>
      </c>
      <c r="H55" s="27"/>
      <c r="I55" s="27"/>
      <c r="J55" s="28">
        <f>Table12166488100[Projected Cost]-Table12166488100[Actual Cost]</f>
        <v>0</v>
      </c>
    </row>
    <row r="56" spans="1:10" ht="15.75" customHeight="1">
      <c r="A56" s="49"/>
      <c r="B56" s="26" t="s">
        <v>8</v>
      </c>
      <c r="C56" s="27"/>
      <c r="D56" s="27"/>
      <c r="E56" s="28">
        <f>Table7247296108[Projected Cost]-Table7247296108[Actual Cost]</f>
        <v>0</v>
      </c>
      <c r="F56" s="29"/>
      <c r="G56" s="30" t="s">
        <v>8</v>
      </c>
      <c r="H56" s="31"/>
      <c r="I56" s="31"/>
      <c r="J56" s="32">
        <f>Table12166488100[Projected Cost]-Table12166488100[Actual Cost]</f>
        <v>0</v>
      </c>
    </row>
    <row r="57" spans="1:10" ht="15.75" customHeight="1">
      <c r="A57" s="49"/>
      <c r="B57" s="22" t="s">
        <v>35</v>
      </c>
      <c r="C57" s="31">
        <f>SUBTOTAL(109,Table7247296108[Projected Cost])</f>
        <v>80</v>
      </c>
      <c r="D57" s="31">
        <f>SUBTOTAL(109,Table7247296108[Actual Cost])</f>
        <v>89</v>
      </c>
      <c r="E57" s="33">
        <f>SUBTOTAL(109,Table7247296108[Difference])</f>
        <v>-9</v>
      </c>
      <c r="F57" s="29"/>
      <c r="G57" s="22" t="s">
        <v>35</v>
      </c>
      <c r="H57" s="31">
        <f>SUBTOTAL(109,Table12166488100[Projected Cost])</f>
        <v>50</v>
      </c>
      <c r="I57" s="31">
        <f>SUBTOTAL(109,Table12166488100[Actual Cost])</f>
        <v>50</v>
      </c>
      <c r="J57" s="33">
        <f>SUBTOTAL(109,Table12166488100[Difference])</f>
        <v>0</v>
      </c>
    </row>
    <row r="58" spans="1:10" ht="15.75" customHeight="1">
      <c r="A58" s="49"/>
      <c r="F58" s="29"/>
      <c r="G58" s="57"/>
      <c r="H58" s="57"/>
      <c r="I58" s="57"/>
      <c r="J58" s="57"/>
    </row>
    <row r="59" spans="1:10" ht="28.5" customHeight="1">
      <c r="A59" s="49"/>
      <c r="F59" s="36"/>
      <c r="G59" s="37" t="s">
        <v>33</v>
      </c>
      <c r="H59" s="38"/>
      <c r="I59" s="39"/>
      <c r="J59" s="40">
        <f>SUM(C18,C27,C34,C39,C47,C57,H22,H31,H38,H44,H50,H57)</f>
        <v>4275</v>
      </c>
    </row>
    <row r="60" spans="1:10" ht="27" customHeight="1">
      <c r="A60" s="49"/>
      <c r="F60" s="36"/>
      <c r="G60" s="37" t="s">
        <v>77</v>
      </c>
      <c r="H60" s="38"/>
      <c r="I60" s="39"/>
      <c r="J60" s="40">
        <f>SUM(D18,D27,D34,D39,D47,D57,I22,I31,I38,I44,I50,I57)</f>
        <v>3764</v>
      </c>
    </row>
    <row r="61" spans="1:10" ht="30.75" customHeight="1">
      <c r="A61" s="49"/>
      <c r="F61" s="36"/>
      <c r="G61" s="37" t="s">
        <v>34</v>
      </c>
      <c r="H61" s="38"/>
      <c r="I61" s="39"/>
      <c r="J61" s="40">
        <f>SUM(E18,E27,E34,E39,E47,E57,J22,J31,J38,J44,J50,J57)</f>
        <v>511</v>
      </c>
    </row>
    <row r="62" spans="1:10" ht="15.75" customHeight="1">
      <c r="A62" s="49"/>
      <c r="F62" s="36"/>
    </row>
    <row r="63" spans="1:10" ht="15.75" customHeight="1">
      <c r="G63" s="41" t="s">
        <v>65</v>
      </c>
      <c r="H63" s="42"/>
    </row>
    <row r="64" spans="1:10">
      <c r="G64" s="43" t="str">
        <f>Table114628698[[#Headers],[HOME]]</f>
        <v>HOME</v>
      </c>
      <c r="H64" s="44">
        <f>Table114628698[[#Totals],[Actual Cost]]</f>
        <v>1210</v>
      </c>
    </row>
    <row r="65" spans="7:8">
      <c r="G65" s="45" t="str">
        <f>Table3216993105[[#Headers],[TRANSPORTATION]]</f>
        <v>TRANSPORTATION</v>
      </c>
      <c r="H65" s="46">
        <f>Table3216993105[[#Totals],[Actual Cost]]</f>
        <v>310</v>
      </c>
    </row>
    <row r="66" spans="7:8">
      <c r="G66" s="41" t="str">
        <f>Table415638799[[#Headers],[UTILITIES]]</f>
        <v>UTILITIES</v>
      </c>
      <c r="H66" s="42">
        <f>Table415638799[[#Totals],[Actual Cost]]</f>
        <v>160</v>
      </c>
    </row>
    <row r="67" spans="7:8">
      <c r="G67" s="43" t="str">
        <f>Table5196791103[[#Headers],[FOOD]]</f>
        <v>FOOD</v>
      </c>
      <c r="H67" s="44">
        <f>Table5196791103[[#Totals],[Actual Cost]]</f>
        <v>400</v>
      </c>
    </row>
    <row r="68" spans="7:8">
      <c r="G68" s="45" t="str">
        <f>Table6176589101[[#Headers],[CONNECTIONS]]</f>
        <v>CONNECTIONS</v>
      </c>
      <c r="H68" s="46">
        <f>Table6176589101[[#Totals],[Actual Cost]]</f>
        <v>550</v>
      </c>
    </row>
    <row r="69" spans="7:8">
      <c r="G69" s="41" t="str">
        <f>Table7247296108[[#Headers],[PERSONAL CARE]]</f>
        <v>PERSONAL CARE</v>
      </c>
      <c r="H69" s="42">
        <f>Table7247296108[[#Totals],[Actual Cost]]</f>
        <v>89</v>
      </c>
    </row>
    <row r="70" spans="7:8">
      <c r="G70" s="43" t="str">
        <f>Table2257397109[[#Headers],[ENTERTAINMENT]]</f>
        <v>ENTERTAINMENT</v>
      </c>
      <c r="H70" s="44">
        <f>Table2257397109[[#Totals],[Actual Cost]]</f>
        <v>170</v>
      </c>
    </row>
    <row r="71" spans="7:8">
      <c r="G71" s="45" t="str">
        <f>Table8227094106[[#Headers],[LOANS]]</f>
        <v>LOANS</v>
      </c>
      <c r="H71" s="46">
        <f>Table8227094106[[#Totals],[Actual Cost]]</f>
        <v>500</v>
      </c>
    </row>
    <row r="72" spans="7:8">
      <c r="G72" s="41" t="str">
        <f>Table9206892104[[#Headers],[TAXES]]</f>
        <v>TAXES</v>
      </c>
      <c r="H72" s="42">
        <f>Table9206892104[[#Totals],[Actual Cost]]</f>
        <v>25</v>
      </c>
    </row>
    <row r="73" spans="7:8">
      <c r="G73" s="43" t="str">
        <f>Table10237195107[[#Headers],[SAVINGS OR INVESTMENTS]]</f>
        <v>SAVINGS OR INVESTMENTS</v>
      </c>
      <c r="H73" s="44">
        <f>Table10237195107[[#Totals],[Actual Cost]]</f>
        <v>250</v>
      </c>
    </row>
    <row r="74" spans="7:8">
      <c r="G74" s="45" t="str">
        <f>Table11186690102[[#Headers],[MEDICAL]]</f>
        <v>MEDICAL</v>
      </c>
      <c r="H74" s="46">
        <f>Table11186690102[[#Totals],[Actual Cost]]</f>
        <v>50</v>
      </c>
    </row>
    <row r="75" spans="7:8">
      <c r="G75" s="41" t="str">
        <f>Table12166488100[[#Headers],[MISC]]</f>
        <v>MISC</v>
      </c>
      <c r="H75" s="42">
        <f>Table12166488100[[#Totals],[Actual Cost]]</f>
        <v>50</v>
      </c>
    </row>
    <row r="76" spans="7:8">
      <c r="G76" s="43" t="s">
        <v>35</v>
      </c>
      <c r="H76" s="44">
        <f>SUM(H64:H75)</f>
        <v>3764</v>
      </c>
    </row>
  </sheetData>
  <mergeCells count="27">
    <mergeCell ref="B2:J2"/>
    <mergeCell ref="B3:D3"/>
    <mergeCell ref="B4:B7"/>
    <mergeCell ref="C4:D4"/>
    <mergeCell ref="G4:I6"/>
    <mergeCell ref="J4:J6"/>
    <mergeCell ref="C6:D6"/>
    <mergeCell ref="C7:D7"/>
    <mergeCell ref="G7:I8"/>
    <mergeCell ref="J7:J8"/>
    <mergeCell ref="G39:J39"/>
    <mergeCell ref="B8:B11"/>
    <mergeCell ref="C8:D8"/>
    <mergeCell ref="G9:I10"/>
    <mergeCell ref="J9:J10"/>
    <mergeCell ref="C10:D10"/>
    <mergeCell ref="C11:D11"/>
    <mergeCell ref="B19:E19"/>
    <mergeCell ref="G23:J23"/>
    <mergeCell ref="B28:E28"/>
    <mergeCell ref="G32:J32"/>
    <mergeCell ref="B35:E35"/>
    <mergeCell ref="B40:E40"/>
    <mergeCell ref="G45:J45"/>
    <mergeCell ref="B48:E48"/>
    <mergeCell ref="G51:J51"/>
    <mergeCell ref="G58:J58"/>
  </mergeCells>
  <conditionalFormatting sqref="J13:J22 E42:E47 E30:E34 E14:E18 E21:E27 E37:E39 E50:E57 J25:J31 J34:J38 J41:J44 J47:J50 J53:J57">
    <cfRule type="iconSet" priority="1">
      <iconSet iconSet="3Signs">
        <cfvo type="percent" val="0"/>
        <cfvo type="num" val="-20"/>
        <cfvo type="num" val="0"/>
      </iconSet>
    </cfRule>
  </conditionalFormatting>
  <pageMargins left="0.5" right="0.5" top="0.5" bottom="0.5" header="0.5" footer="0.5"/>
  <pageSetup scale="65" orientation="portrait" horizontalDpi="4294967292"/>
  <headerFooter alignWithMargins="0"/>
  <drawing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90CA435-8500-4CBF-BE32-E39AD44395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April 2015</vt:lpstr>
      <vt:lpstr>May 2015</vt:lpstr>
      <vt:lpstr>June 2015</vt:lpstr>
      <vt:lpstr>July 2015</vt:lpstr>
      <vt:lpstr>August 2015</vt:lpstr>
      <vt:lpstr>September 2015</vt:lpstr>
      <vt:lpstr>October 2015</vt:lpstr>
      <vt:lpstr>November 2015</vt:lpstr>
      <vt:lpstr>December 2015</vt:lpstr>
      <vt:lpstr>Annual Summary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Melissa G. Hoffman</dc:creator>
  <cp:lastModifiedBy>Melissa Hoffman</cp:lastModifiedBy>
  <dcterms:created xsi:type="dcterms:W3CDTF">2015-04-10T23:31:26Z</dcterms:created>
  <dcterms:modified xsi:type="dcterms:W3CDTF">2015-04-11T01:23:01Z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TC100738829990</vt:lpwstr>
  </property>
</Properties>
</file>